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-2" sheetId="9" r:id="rId9"/>
    <sheet name="січень" sheetId="10" r:id="rId10"/>
  </sheets>
  <externalReferences>
    <externalReference r:id="rId13"/>
  </externalReferences>
  <definedNames>
    <definedName name="_xlnm.Print_Area" localSheetId="9">'січень'!$A$1:$R$87</definedName>
    <definedName name="_xlnm.Print_Area" localSheetId="3">'червень'!$B$2:$J$85</definedName>
  </definedNames>
  <calcPr fullCalcOnLoad="1"/>
</workbook>
</file>

<file path=xl/sharedStrings.xml><?xml version="1.0" encoding="utf-8"?>
<sst xmlns="http://schemas.openxmlformats.org/spreadsheetml/2006/main" count="1292" uniqueCount="208">
  <si>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</si>
  <si>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</si>
  <si>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</si>
  <si>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</si>
  <si>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</si>
  <si>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</si>
  <si>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</si>
  <si>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</si>
  <si>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</si>
  <si>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</si>
  <si>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</si>
  <si>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</si>
  <si>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</si>
  <si>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</si>
  <si>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</si>
  <si>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</si>
  <si>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</si>
  <si>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</si>
  <si>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</si>
  <si>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</si>
  <si>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</si>
  <si>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</si>
  <si>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</si>
  <si>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</si>
  <si>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</si>
  <si>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</si>
  <si>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</si>
  <si>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</si>
  <si>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</si>
  <si>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</si>
  <si>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</si>
  <si>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</si>
  <si>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</si>
  <si>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</si>
  <si>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</si>
  <si>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</si>
  <si>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</si>
  <si>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</si>
  <si>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</si>
  <si>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</si>
  <si>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</si>
  <si>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</si>
  <si>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</si>
  <si>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</si>
  <si>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</si>
  <si>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</si>
  <si>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</si>
  <si>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</si>
  <si>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</si>
  <si>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</si>
  <si>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</si>
  <si>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</si>
  <si>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</si>
  <si>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</si>
  <si>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</si>
  <si>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</si>
  <si>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</si>
  <si>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</si>
  <si>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</si>
  <si>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</si>
  <si>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</si>
  <si>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</si>
  <si>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</si>
  <si>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</si>
  <si>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</si>
  <si>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</si>
  <si>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</si>
  <si>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</si>
  <si>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</si>
  <si>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</si>
  <si>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</si>
  <si>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</si>
  <si>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</si>
  <si>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</si>
  <si>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</si>
  <si>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</si>
  <si>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</si>
  <si>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</si>
  <si>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</si>
  <si>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</si>
  <si>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</si>
  <si>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</si>
  <si>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</si>
  <si>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</si>
  <si>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</si>
  <si>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</si>
  <si>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</si>
  <si>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</si>
  <si>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</si>
  <si>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</si>
  <si>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</si>
  <si>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</si>
  <si>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</si>
  <si>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</si>
  <si>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</si>
  <si>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</si>
  <si>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</si>
  <si>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</si>
  <si>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</si>
  <si>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</si>
  <si>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</si>
  <si>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</si>
  <si>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</si>
  <si>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</si>
  <si>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</si>
  <si>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</si>
  <si>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</si>
  <si>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</si>
  <si>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</si>
  <si>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</si>
  <si>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</si>
  <si>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</si>
  <si>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</si>
  <si>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</si>
  <si>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</si>
  <si>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</si>
  <si>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</si>
  <si>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</si>
  <si>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</si>
  <si>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</si>
  <si>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</si>
  <si>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</si>
  <si>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</si>
  <si>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</si>
  <si>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</si>
  <si>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</si>
  <si>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</si>
  <si>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</si>
  <si>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</si>
  <si>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</si>
  <si>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</si>
  <si>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</si>
  <si>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</si>
  <si>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</si>
  <si>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</si>
  <si>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</si>
  <si>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</si>
  <si>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</si>
  <si>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</si>
  <si>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</si>
  <si>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</si>
  <si>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</si>
  <si>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</si>
  <si>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</si>
  <si>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</si>
  <si>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</si>
  <si>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</si>
  <si>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</si>
  <si>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</si>
  <si>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</si>
  <si>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</si>
  <si>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</si>
  <si>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</si>
  <si>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</si>
  <si>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</si>
  <si>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</si>
  <si>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</si>
  <si>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</si>
  <si>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</si>
  <si>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</si>
  <si>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</si>
  <si>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</si>
  <si>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</si>
  <si>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</si>
  <si>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</si>
  <si>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</si>
  <si>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</si>
  <si>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</si>
  <si>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</si>
  <si>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</si>
  <si>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</si>
  <si>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</si>
  <si>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</si>
  <si>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</si>
  <si>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</si>
  <si>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</si>
  <si>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</si>
  <si>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</si>
  <si>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</si>
  <si>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</si>
  <si>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</si>
  <si>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</si>
  <si>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</si>
  <si>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</si>
  <si>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</si>
  <si>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</si>
  <si>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</si>
  <si>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</si>
  <si>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</si>
  <si>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</si>
  <si>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</si>
  <si>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</si>
  <si>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</si>
  <si>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</si>
  <si>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</si>
  <si>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</si>
  <si>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</si>
  <si>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</si>
  <si>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</si>
  <si>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</si>
  <si>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</si>
  <si>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</si>
  <si>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</si>
  <si>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2016 та 2015 років</t>
    </r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</si>
  <si>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</si>
  <si>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</si>
  <si>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27.09.2016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</si>
  <si>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26.09.16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</si>
</sst>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0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191" fontId="80" fillId="0" borderId="10" xfId="0" applyNumberFormat="1" applyFont="1" applyBorder="1" applyAlignment="1" applyProtection="1">
      <alignment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0" fontId="3" fillId="0" borderId="0" xfId="54" applyFont="1" applyAlignment="1" applyProtection="1">
      <alignment horizontal="center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2">
        <row r="6">
          <cell r="G6">
            <v>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6" zoomScaleNormal="76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2" t="s">
        <v>206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92"/>
      <c r="S1" s="93"/>
    </row>
    <row r="2" spans="2:19" s="1" customFormat="1" ht="15.75" customHeight="1">
      <c r="B2" s="413"/>
      <c r="C2" s="413"/>
      <c r="D2" s="413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89"/>
      <c r="N3" s="422" t="s">
        <v>201</v>
      </c>
      <c r="O3" s="425" t="s">
        <v>202</v>
      </c>
      <c r="P3" s="425"/>
      <c r="Q3" s="425"/>
      <c r="R3" s="425"/>
      <c r="S3" s="425"/>
    </row>
    <row r="4" spans="1:19" ht="22.5" customHeight="1">
      <c r="A4" s="414"/>
      <c r="B4" s="416"/>
      <c r="C4" s="417"/>
      <c r="D4" s="418"/>
      <c r="E4" s="426" t="s">
        <v>198</v>
      </c>
      <c r="F4" s="428" t="s">
        <v>34</v>
      </c>
      <c r="G4" s="430" t="s">
        <v>199</v>
      </c>
      <c r="H4" s="423" t="s">
        <v>200</v>
      </c>
      <c r="I4" s="430" t="s">
        <v>122</v>
      </c>
      <c r="J4" s="423" t="s">
        <v>123</v>
      </c>
      <c r="K4" s="91" t="s">
        <v>186</v>
      </c>
      <c r="L4" s="249" t="s">
        <v>185</v>
      </c>
      <c r="M4" s="96" t="s">
        <v>64</v>
      </c>
      <c r="N4" s="423"/>
      <c r="O4" s="432" t="s">
        <v>207</v>
      </c>
      <c r="P4" s="430" t="s">
        <v>50</v>
      </c>
      <c r="Q4" s="434" t="s">
        <v>49</v>
      </c>
      <c r="R4" s="97" t="s">
        <v>65</v>
      </c>
      <c r="S4" s="98" t="s">
        <v>64</v>
      </c>
    </row>
    <row r="5" spans="1:19" ht="67.5" customHeight="1">
      <c r="A5" s="415"/>
      <c r="B5" s="416"/>
      <c r="C5" s="417"/>
      <c r="D5" s="418"/>
      <c r="E5" s="427"/>
      <c r="F5" s="429"/>
      <c r="G5" s="431"/>
      <c r="H5" s="424"/>
      <c r="I5" s="431"/>
      <c r="J5" s="424"/>
      <c r="K5" s="435" t="s">
        <v>203</v>
      </c>
      <c r="L5" s="436"/>
      <c r="M5" s="437"/>
      <c r="N5" s="424"/>
      <c r="O5" s="433"/>
      <c r="P5" s="431"/>
      <c r="Q5" s="434"/>
      <c r="R5" s="435" t="s">
        <v>120</v>
      </c>
      <c r="S5" s="437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701850.81</v>
      </c>
      <c r="F8" s="191">
        <f>F9+F15+F18+F19+F20+F37+F17</f>
        <v>681332.93</v>
      </c>
      <c r="G8" s="191">
        <f aca="true" t="shared" si="0" ref="G8:G37">F8-E8</f>
        <v>-20517.880000000005</v>
      </c>
      <c r="H8" s="192">
        <f>F8/E8*100</f>
        <v>97.07660378706409</v>
      </c>
      <c r="I8" s="193">
        <f>F8-D8</f>
        <v>-275738.52</v>
      </c>
      <c r="J8" s="193">
        <f>F8/D8*100</f>
        <v>71.18934850684346</v>
      </c>
      <c r="K8" s="191">
        <v>480879.27</v>
      </c>
      <c r="L8" s="191">
        <f aca="true" t="shared" si="1" ref="L8:L51">F8-K8</f>
        <v>200453.66000000003</v>
      </c>
      <c r="M8" s="250">
        <f aca="true" t="shared" si="2" ref="M8:M28">F8/K8</f>
        <v>1.4168482039161305</v>
      </c>
      <c r="N8" s="191">
        <f>N9+N15+N18+N19+N20+N17</f>
        <v>72492.83</v>
      </c>
      <c r="O8" s="191">
        <f>O9+O15+O18+O19+O20+O17</f>
        <v>47812.100000000006</v>
      </c>
      <c r="P8" s="191">
        <f>O8-N8</f>
        <v>-24680.729999999996</v>
      </c>
      <c r="Q8" s="191">
        <f>O8/N8*100</f>
        <v>65.9542467855097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374978.67</v>
      </c>
      <c r="F9" s="196">
        <v>373641.29</v>
      </c>
      <c r="G9" s="190">
        <f t="shared" si="0"/>
        <v>-1337.3800000000047</v>
      </c>
      <c r="H9" s="197">
        <f>F9/E9*100</f>
        <v>99.6433450467996</v>
      </c>
      <c r="I9" s="198">
        <f>F9-D9</f>
        <v>-156947.71000000002</v>
      </c>
      <c r="J9" s="198">
        <f>F9/D9*100</f>
        <v>70.42009728810812</v>
      </c>
      <c r="K9" s="199">
        <v>264375.41</v>
      </c>
      <c r="L9" s="199">
        <f t="shared" si="1"/>
        <v>109265.88</v>
      </c>
      <c r="M9" s="251">
        <f t="shared" si="2"/>
        <v>1.4132981959252564</v>
      </c>
      <c r="N9" s="197">
        <f>E9-серпень!E9</f>
        <v>42685</v>
      </c>
      <c r="O9" s="200">
        <f>F9-серпень!F9</f>
        <v>33722.92999999999</v>
      </c>
      <c r="P9" s="201">
        <f>O9-N9</f>
        <v>-8962.070000000007</v>
      </c>
      <c r="Q9" s="198">
        <f>O9/N9*100</f>
        <v>79.00417008316737</v>
      </c>
      <c r="R9" s="106"/>
      <c r="S9" s="107"/>
      <c r="T9" s="186">
        <f>D9-E9</f>
        <v>155610.33000000002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334470.24</v>
      </c>
      <c r="F10" s="171">
        <v>329710.33</v>
      </c>
      <c r="G10" s="109">
        <f t="shared" si="0"/>
        <v>-4759.909999999974</v>
      </c>
      <c r="H10" s="32">
        <f aca="true" t="shared" si="3" ref="H10:H36">F10/E10*100</f>
        <v>98.5768808609101</v>
      </c>
      <c r="I10" s="110">
        <f aca="true" t="shared" si="4" ref="I10:I37">F10-D10</f>
        <v>-155498.66999999998</v>
      </c>
      <c r="J10" s="110">
        <f aca="true" t="shared" si="5" ref="J10:J36">F10/D10*100</f>
        <v>67.9522288333481</v>
      </c>
      <c r="K10" s="112">
        <v>233936.48</v>
      </c>
      <c r="L10" s="112">
        <f t="shared" si="1"/>
        <v>95773.85</v>
      </c>
      <c r="M10" s="252">
        <f t="shared" si="2"/>
        <v>1.4094010904156546</v>
      </c>
      <c r="N10" s="111">
        <f>E10-серпень!E10</f>
        <v>39100</v>
      </c>
      <c r="O10" s="179">
        <f>F10-серпень!F10</f>
        <v>31036.920000000042</v>
      </c>
      <c r="P10" s="112">
        <f aca="true" t="shared" si="6" ref="P10:P37">O10-N10</f>
        <v>-8063.079999999958</v>
      </c>
      <c r="Q10" s="198">
        <f aca="true" t="shared" si="7" ref="Q10:Q16">O10/N10*100</f>
        <v>79.37831202046046</v>
      </c>
      <c r="R10" s="42"/>
      <c r="S10" s="100"/>
      <c r="T10" s="186">
        <f aca="true" t="shared" si="8" ref="T10:T73">D10-E10</f>
        <v>150738.76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21514.94</v>
      </c>
      <c r="F11" s="171">
        <v>26616.26</v>
      </c>
      <c r="G11" s="109">
        <f t="shared" si="0"/>
        <v>5101.32</v>
      </c>
      <c r="H11" s="32">
        <f t="shared" si="3"/>
        <v>123.7105936618926</v>
      </c>
      <c r="I11" s="110">
        <f t="shared" si="4"/>
        <v>3616.2599999999984</v>
      </c>
      <c r="J11" s="110">
        <f t="shared" si="5"/>
        <v>115.72286956521738</v>
      </c>
      <c r="K11" s="112">
        <v>14002.69</v>
      </c>
      <c r="L11" s="112">
        <f t="shared" si="1"/>
        <v>12613.569999999998</v>
      </c>
      <c r="M11" s="252">
        <f t="shared" si="2"/>
        <v>1.9007962041579152</v>
      </c>
      <c r="N11" s="111">
        <f>E11-серпень!E11</f>
        <v>1800</v>
      </c>
      <c r="O11" s="179">
        <f>F11-серпень!F11</f>
        <v>1617.329999999998</v>
      </c>
      <c r="P11" s="112">
        <f t="shared" si="6"/>
        <v>-182.6700000000019</v>
      </c>
      <c r="Q11" s="198">
        <f t="shared" si="7"/>
        <v>89.85166666666656</v>
      </c>
      <c r="R11" s="42"/>
      <c r="S11" s="100"/>
      <c r="T11" s="186">
        <f t="shared" si="8"/>
        <v>1485.0600000000013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5880.61</v>
      </c>
      <c r="F12" s="171">
        <v>7222.72</v>
      </c>
      <c r="G12" s="109">
        <f t="shared" si="0"/>
        <v>1342.1100000000006</v>
      </c>
      <c r="H12" s="32">
        <f t="shared" si="3"/>
        <v>122.82263234596411</v>
      </c>
      <c r="I12" s="110">
        <f t="shared" si="4"/>
        <v>722.7200000000003</v>
      </c>
      <c r="J12" s="110">
        <f t="shared" si="5"/>
        <v>111.11876923076925</v>
      </c>
      <c r="K12" s="112">
        <v>3744.64</v>
      </c>
      <c r="L12" s="112">
        <f t="shared" si="1"/>
        <v>3478.0800000000004</v>
      </c>
      <c r="M12" s="252">
        <f t="shared" si="2"/>
        <v>1.928815587079132</v>
      </c>
      <c r="N12" s="111">
        <f>E12-серпень!E12</f>
        <v>480</v>
      </c>
      <c r="O12" s="179">
        <f>F12-серпень!F12</f>
        <v>536.3299999999999</v>
      </c>
      <c r="P12" s="112">
        <f t="shared" si="6"/>
        <v>56.32999999999993</v>
      </c>
      <c r="Q12" s="198">
        <f t="shared" si="7"/>
        <v>111.73541666666664</v>
      </c>
      <c r="R12" s="42"/>
      <c r="S12" s="100"/>
      <c r="T12" s="186">
        <f t="shared" si="8"/>
        <v>619.3900000000003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9664.84</v>
      </c>
      <c r="F13" s="171">
        <v>7453.06</v>
      </c>
      <c r="G13" s="109">
        <f t="shared" si="0"/>
        <v>-2211.7799999999997</v>
      </c>
      <c r="H13" s="32">
        <f t="shared" si="3"/>
        <v>77.11519280195016</v>
      </c>
      <c r="I13" s="110">
        <f t="shared" si="4"/>
        <v>-4946.94</v>
      </c>
      <c r="J13" s="110">
        <f t="shared" si="5"/>
        <v>60.10532258064516</v>
      </c>
      <c r="K13" s="112">
        <v>5730.24</v>
      </c>
      <c r="L13" s="112">
        <f t="shared" si="1"/>
        <v>1722.8200000000006</v>
      </c>
      <c r="M13" s="252">
        <f t="shared" si="2"/>
        <v>1.3006540738258783</v>
      </c>
      <c r="N13" s="111">
        <f>E13-серпень!E13</f>
        <v>1300</v>
      </c>
      <c r="O13" s="179">
        <f>F13-серпень!F13</f>
        <v>435.8100000000004</v>
      </c>
      <c r="P13" s="112">
        <f t="shared" si="6"/>
        <v>-864.1899999999996</v>
      </c>
      <c r="Q13" s="198">
        <f t="shared" si="7"/>
        <v>33.523846153846186</v>
      </c>
      <c r="R13" s="42"/>
      <c r="S13" s="100"/>
      <c r="T13" s="186">
        <f t="shared" si="8"/>
        <v>2735.16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3448.04</v>
      </c>
      <c r="F14" s="171">
        <v>2638.91</v>
      </c>
      <c r="G14" s="109">
        <f t="shared" si="0"/>
        <v>-809.1300000000001</v>
      </c>
      <c r="H14" s="32">
        <f t="shared" si="3"/>
        <v>76.53362489994315</v>
      </c>
      <c r="I14" s="110">
        <f t="shared" si="4"/>
        <v>-841.0900000000001</v>
      </c>
      <c r="J14" s="110">
        <f t="shared" si="5"/>
        <v>75.83074712643678</v>
      </c>
      <c r="K14" s="112">
        <v>6961.36</v>
      </c>
      <c r="L14" s="112">
        <f t="shared" si="1"/>
        <v>-4322.45</v>
      </c>
      <c r="M14" s="252">
        <f t="shared" si="2"/>
        <v>0.3790796625946654</v>
      </c>
      <c r="N14" s="111">
        <f>E14-серпень!E14</f>
        <v>5</v>
      </c>
      <c r="O14" s="179">
        <f>F14-серпень!F14</f>
        <v>96.52999999999975</v>
      </c>
      <c r="P14" s="112">
        <f t="shared" si="6"/>
        <v>91.52999999999975</v>
      </c>
      <c r="Q14" s="198">
        <f t="shared" si="7"/>
        <v>1930.5999999999947</v>
      </c>
      <c r="R14" s="42"/>
      <c r="S14" s="100"/>
      <c r="T14" s="186">
        <f t="shared" si="8"/>
        <v>31.960000000000036</v>
      </c>
      <c r="U14" s="273">
        <v>2880</v>
      </c>
      <c r="V14" s="186">
        <f>U14-T14</f>
        <v>2848.04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370</v>
      </c>
      <c r="F15" s="196">
        <v>386.82</v>
      </c>
      <c r="G15" s="190">
        <f t="shared" si="0"/>
        <v>16.819999999999993</v>
      </c>
      <c r="H15" s="197">
        <f>F15/E15*100</f>
        <v>104.54594594594595</v>
      </c>
      <c r="I15" s="198">
        <f t="shared" si="4"/>
        <v>-113.18</v>
      </c>
      <c r="J15" s="198">
        <f t="shared" si="5"/>
        <v>77.364</v>
      </c>
      <c r="K15" s="201">
        <v>-666.69</v>
      </c>
      <c r="L15" s="201">
        <f t="shared" si="1"/>
        <v>1053.51</v>
      </c>
      <c r="M15" s="253">
        <f t="shared" si="2"/>
        <v>-0.5802096926607568</v>
      </c>
      <c r="N15" s="197">
        <f>E15-серпень!E15</f>
        <v>5</v>
      </c>
      <c r="O15" s="200">
        <f>F15-серпень!F15</f>
        <v>1.5600000000000023</v>
      </c>
      <c r="P15" s="201">
        <f t="shared" si="6"/>
        <v>-3.4399999999999977</v>
      </c>
      <c r="Q15" s="198">
        <f t="shared" si="7"/>
        <v>31.200000000000045</v>
      </c>
      <c r="R15" s="42"/>
      <c r="S15" s="100"/>
      <c r="T15" s="186">
        <f t="shared" si="8"/>
        <v>130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E16-серпень!E16</f>
        <v>0</v>
      </c>
      <c r="O16" s="200">
        <f>F16-серпень!F16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E17-серпень!E17</f>
        <v>0</v>
      </c>
      <c r="O17" s="200">
        <f>F17-серпень!F17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E18-серпень!E18</f>
        <v>0</v>
      </c>
      <c r="O18" s="200">
        <f>F18-серпень!F18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80060.4</v>
      </c>
      <c r="F19" s="196">
        <v>67390.78</v>
      </c>
      <c r="G19" s="190">
        <f t="shared" si="0"/>
        <v>-12669.619999999995</v>
      </c>
      <c r="H19" s="197">
        <f t="shared" si="3"/>
        <v>84.17492293318544</v>
      </c>
      <c r="I19" s="198">
        <f t="shared" si="4"/>
        <v>-42509.22</v>
      </c>
      <c r="J19" s="198">
        <f t="shared" si="5"/>
        <v>61.32009099181074</v>
      </c>
      <c r="K19" s="209">
        <v>51468.87</v>
      </c>
      <c r="L19" s="201">
        <f t="shared" si="1"/>
        <v>15921.909999999996</v>
      </c>
      <c r="M19" s="259">
        <f t="shared" si="2"/>
        <v>1.3093502927109142</v>
      </c>
      <c r="N19" s="197">
        <f>E19-серпень!E19</f>
        <v>10800</v>
      </c>
      <c r="O19" s="200">
        <f>F19-серпень!F19</f>
        <v>2954.5</v>
      </c>
      <c r="P19" s="201">
        <f t="shared" si="6"/>
        <v>-7845.5</v>
      </c>
      <c r="Q19" s="198">
        <f aca="true" t="shared" si="9" ref="Q19:Q24">O19/N19*100</f>
        <v>27.35648148148148</v>
      </c>
      <c r="R19" s="113"/>
      <c r="S19" s="114"/>
      <c r="T19" s="186">
        <f t="shared" si="8"/>
        <v>29839.600000000006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246335.94</v>
      </c>
      <c r="F20" s="272">
        <f>F21+F29+F30+F31+F32</f>
        <v>239808.07</v>
      </c>
      <c r="G20" s="190">
        <f t="shared" si="0"/>
        <v>-6527.869999999995</v>
      </c>
      <c r="H20" s="197">
        <f t="shared" si="3"/>
        <v>97.35001315682965</v>
      </c>
      <c r="I20" s="198">
        <f t="shared" si="4"/>
        <v>-76168.58000000002</v>
      </c>
      <c r="J20" s="198">
        <f t="shared" si="5"/>
        <v>75.89423775459358</v>
      </c>
      <c r="K20" s="198">
        <v>160106.6</v>
      </c>
      <c r="L20" s="201">
        <f t="shared" si="1"/>
        <v>79701.47</v>
      </c>
      <c r="M20" s="254">
        <f t="shared" si="2"/>
        <v>1.497802526566675</v>
      </c>
      <c r="N20" s="197">
        <f>N21+N30+N31+N32</f>
        <v>19002.83</v>
      </c>
      <c r="O20" s="200">
        <f>F20-серпень!F20</f>
        <v>11133.110000000015</v>
      </c>
      <c r="P20" s="201">
        <f t="shared" si="6"/>
        <v>-7869.719999999987</v>
      </c>
      <c r="Q20" s="198">
        <f t="shared" si="9"/>
        <v>58.58658947114726</v>
      </c>
      <c r="R20" s="113"/>
      <c r="S20" s="114"/>
      <c r="T20" s="186">
        <f t="shared" si="8"/>
        <v>69640.71000000002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134080.79</v>
      </c>
      <c r="F21" s="211">
        <f>F22+F25+F26</f>
        <v>128229.81</v>
      </c>
      <c r="G21" s="190">
        <f t="shared" si="0"/>
        <v>-5850.9800000000105</v>
      </c>
      <c r="H21" s="197">
        <f t="shared" si="3"/>
        <v>95.63622797866867</v>
      </c>
      <c r="I21" s="198">
        <f t="shared" si="4"/>
        <v>-46669.84</v>
      </c>
      <c r="J21" s="198">
        <f t="shared" si="5"/>
        <v>73.31621875744176</v>
      </c>
      <c r="K21" s="198">
        <v>88979.33</v>
      </c>
      <c r="L21" s="201">
        <f t="shared" si="1"/>
        <v>39250.479999999996</v>
      </c>
      <c r="M21" s="254">
        <f t="shared" si="2"/>
        <v>1.4411190778802223</v>
      </c>
      <c r="N21" s="197">
        <f>N22+N25+N26</f>
        <v>13311.830000000004</v>
      </c>
      <c r="O21" s="200">
        <f>F21-серпень!F21</f>
        <v>6549.8399999999965</v>
      </c>
      <c r="P21" s="201">
        <f t="shared" si="6"/>
        <v>-6761.990000000007</v>
      </c>
      <c r="Q21" s="198">
        <f t="shared" si="9"/>
        <v>49.20315238400727</v>
      </c>
      <c r="R21" s="113"/>
      <c r="S21" s="114"/>
      <c r="T21" s="186">
        <f t="shared" si="8"/>
        <v>40818.859999999986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15124.48</v>
      </c>
      <c r="F22" s="213">
        <v>15582.17</v>
      </c>
      <c r="G22" s="212">
        <f t="shared" si="0"/>
        <v>457.6900000000005</v>
      </c>
      <c r="H22" s="214">
        <f t="shared" si="3"/>
        <v>103.02615362643873</v>
      </c>
      <c r="I22" s="215">
        <f t="shared" si="4"/>
        <v>-2917.83</v>
      </c>
      <c r="J22" s="215">
        <f t="shared" si="5"/>
        <v>84.22794594594595</v>
      </c>
      <c r="K22" s="216">
        <v>9131.68</v>
      </c>
      <c r="L22" s="206">
        <f t="shared" si="1"/>
        <v>6450.49</v>
      </c>
      <c r="M22" s="262">
        <f t="shared" si="2"/>
        <v>1.7063859005133775</v>
      </c>
      <c r="N22" s="214">
        <f>E22-серпень!E22</f>
        <v>547.5799999999999</v>
      </c>
      <c r="O22" s="217">
        <f>F22-серпень!F22</f>
        <v>708.7000000000007</v>
      </c>
      <c r="P22" s="218">
        <f t="shared" si="6"/>
        <v>161.1200000000008</v>
      </c>
      <c r="Q22" s="215">
        <f t="shared" si="9"/>
        <v>129.42401110340057</v>
      </c>
      <c r="R22" s="113"/>
      <c r="S22" s="114"/>
      <c r="T22" s="186">
        <f t="shared" si="8"/>
        <v>3375.5200000000004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1024.4</v>
      </c>
      <c r="F23" s="203">
        <v>656.22</v>
      </c>
      <c r="G23" s="241">
        <f t="shared" si="0"/>
        <v>-368.18000000000006</v>
      </c>
      <c r="H23" s="242">
        <f t="shared" si="3"/>
        <v>64.05896134322529</v>
      </c>
      <c r="I23" s="243">
        <f t="shared" si="4"/>
        <v>-1343.78</v>
      </c>
      <c r="J23" s="243">
        <f t="shared" si="5"/>
        <v>32.811</v>
      </c>
      <c r="K23" s="261">
        <v>574.07</v>
      </c>
      <c r="L23" s="261">
        <f t="shared" si="1"/>
        <v>82.14999999999998</v>
      </c>
      <c r="M23" s="263">
        <f t="shared" si="2"/>
        <v>1.1431010155555943</v>
      </c>
      <c r="N23" s="239">
        <f>E23-серпень!E23</f>
        <v>150.0000000000001</v>
      </c>
      <c r="O23" s="239">
        <f>F23-серпень!F23</f>
        <v>32.58000000000004</v>
      </c>
      <c r="P23" s="240">
        <f t="shared" si="6"/>
        <v>-117.42000000000007</v>
      </c>
      <c r="Q23" s="240">
        <f t="shared" si="9"/>
        <v>21.720000000000013</v>
      </c>
      <c r="R23" s="113"/>
      <c r="S23" s="114"/>
      <c r="T23" s="186">
        <f t="shared" si="8"/>
        <v>975.5999999999999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14100.08</v>
      </c>
      <c r="F24" s="203">
        <v>14925.95</v>
      </c>
      <c r="G24" s="241">
        <f t="shared" si="0"/>
        <v>825.8700000000008</v>
      </c>
      <c r="H24" s="242">
        <f t="shared" si="3"/>
        <v>105.85720081020817</v>
      </c>
      <c r="I24" s="243">
        <f t="shared" si="4"/>
        <v>-1574.0499999999993</v>
      </c>
      <c r="J24" s="243">
        <f t="shared" si="5"/>
        <v>90.46030303030304</v>
      </c>
      <c r="K24" s="261">
        <v>8557.61</v>
      </c>
      <c r="L24" s="261">
        <f t="shared" si="1"/>
        <v>6368.34</v>
      </c>
      <c r="M24" s="263">
        <f t="shared" si="2"/>
        <v>1.7441727304703065</v>
      </c>
      <c r="N24" s="239">
        <f>E24-серпень!E24</f>
        <v>397.5799999999999</v>
      </c>
      <c r="O24" s="239">
        <f>F24-серпень!F24</f>
        <v>676.1200000000008</v>
      </c>
      <c r="P24" s="240">
        <f t="shared" si="6"/>
        <v>278.5400000000009</v>
      </c>
      <c r="Q24" s="240">
        <f t="shared" si="9"/>
        <v>170.05885607927988</v>
      </c>
      <c r="R24" s="113"/>
      <c r="S24" s="114"/>
      <c r="T24" s="186">
        <f t="shared" si="8"/>
        <v>2399.92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927.34</v>
      </c>
      <c r="F25" s="213">
        <v>727.34</v>
      </c>
      <c r="G25" s="212">
        <f t="shared" si="0"/>
        <v>-200</v>
      </c>
      <c r="H25" s="214">
        <f t="shared" si="3"/>
        <v>78.43293721828024</v>
      </c>
      <c r="I25" s="215">
        <f t="shared" si="4"/>
        <v>-272.65999999999997</v>
      </c>
      <c r="J25" s="215">
        <f t="shared" si="5"/>
        <v>72.734</v>
      </c>
      <c r="K25" s="215">
        <v>3333.63</v>
      </c>
      <c r="L25" s="215">
        <f t="shared" si="1"/>
        <v>-2606.29</v>
      </c>
      <c r="M25" s="257">
        <f t="shared" si="2"/>
        <v>0.21818258175022423</v>
      </c>
      <c r="N25" s="214">
        <f>E25-серпень!E25</f>
        <v>34.200000000000045</v>
      </c>
      <c r="O25" s="217">
        <f>F25-серпень!F25</f>
        <v>58.34000000000003</v>
      </c>
      <c r="P25" s="218">
        <f t="shared" si="6"/>
        <v>24.139999999999986</v>
      </c>
      <c r="Q25" s="215"/>
      <c r="R25" s="113"/>
      <c r="S25" s="114"/>
      <c r="T25" s="186">
        <f t="shared" si="8"/>
        <v>72.65999999999997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118028.97</v>
      </c>
      <c r="F26" s="213">
        <v>111920.3</v>
      </c>
      <c r="G26" s="212">
        <f t="shared" si="0"/>
        <v>-6108.669999999998</v>
      </c>
      <c r="H26" s="214">
        <f t="shared" si="3"/>
        <v>94.82443166283667</v>
      </c>
      <c r="I26" s="215">
        <f t="shared" si="4"/>
        <v>-43479.34999999999</v>
      </c>
      <c r="J26" s="215">
        <f t="shared" si="5"/>
        <v>72.0209472801258</v>
      </c>
      <c r="K26" s="216">
        <v>76514.01</v>
      </c>
      <c r="L26" s="216">
        <f t="shared" si="1"/>
        <v>35406.29000000001</v>
      </c>
      <c r="M26" s="256">
        <f t="shared" si="2"/>
        <v>1.4627425748565526</v>
      </c>
      <c r="N26" s="214">
        <f>E26-серпень!E26</f>
        <v>12730.050000000003</v>
      </c>
      <c r="O26" s="217">
        <f>F26-серпень!F26</f>
        <v>5782.800000000003</v>
      </c>
      <c r="P26" s="218">
        <f t="shared" si="6"/>
        <v>-6947.25</v>
      </c>
      <c r="Q26" s="215">
        <f>O26/N26*100</f>
        <v>45.42637303074223</v>
      </c>
      <c r="R26" s="113"/>
      <c r="S26" s="114"/>
      <c r="T26" s="186">
        <f t="shared" si="8"/>
        <v>37370.67999999999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36881.8</v>
      </c>
      <c r="F27" s="203">
        <v>35510.95</v>
      </c>
      <c r="G27" s="241">
        <f t="shared" si="0"/>
        <v>-1370.8500000000058</v>
      </c>
      <c r="H27" s="242">
        <f t="shared" si="3"/>
        <v>96.28312609471337</v>
      </c>
      <c r="I27" s="243">
        <f t="shared" si="4"/>
        <v>-11856.050000000003</v>
      </c>
      <c r="J27" s="243">
        <f t="shared" si="5"/>
        <v>74.96981020541726</v>
      </c>
      <c r="K27" s="261">
        <v>20770.43</v>
      </c>
      <c r="L27" s="261">
        <f t="shared" si="1"/>
        <v>14740.519999999997</v>
      </c>
      <c r="M27" s="263">
        <f t="shared" si="2"/>
        <v>1.7096877628436193</v>
      </c>
      <c r="N27" s="239">
        <f>E27-серпень!E27</f>
        <v>3590.050000000003</v>
      </c>
      <c r="O27" s="239">
        <f>F27-серпень!F27</f>
        <v>1473.1299999999974</v>
      </c>
      <c r="P27" s="240">
        <f t="shared" si="6"/>
        <v>-2116.9200000000055</v>
      </c>
      <c r="Q27" s="240">
        <f>O27/N27*100</f>
        <v>41.033690338574566</v>
      </c>
      <c r="R27" s="113"/>
      <c r="S27" s="114"/>
      <c r="T27" s="186">
        <f t="shared" si="8"/>
        <v>10485.199999999997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81147.17</v>
      </c>
      <c r="F28" s="203">
        <v>76409.35</v>
      </c>
      <c r="G28" s="241">
        <f t="shared" si="0"/>
        <v>-4737.819999999992</v>
      </c>
      <c r="H28" s="242">
        <f t="shared" si="3"/>
        <v>94.16144765122432</v>
      </c>
      <c r="I28" s="243">
        <f t="shared" si="4"/>
        <v>-31623.29999999999</v>
      </c>
      <c r="J28" s="243">
        <f t="shared" si="5"/>
        <v>70.72801602108252</v>
      </c>
      <c r="K28" s="261">
        <v>55743.59</v>
      </c>
      <c r="L28" s="261">
        <f t="shared" si="1"/>
        <v>20665.76000000001</v>
      </c>
      <c r="M28" s="263">
        <f t="shared" si="2"/>
        <v>1.3707289035385057</v>
      </c>
      <c r="N28" s="239">
        <f>E28-серпень!E28</f>
        <v>9140</v>
      </c>
      <c r="O28" s="239">
        <f>F28-серпень!F28</f>
        <v>4309.680000000008</v>
      </c>
      <c r="P28" s="240">
        <f t="shared" si="6"/>
        <v>-4830.319999999992</v>
      </c>
      <c r="Q28" s="240">
        <f>O28/N28*100</f>
        <v>47.15185995623641</v>
      </c>
      <c r="R28" s="113"/>
      <c r="S28" s="114"/>
      <c r="T28" s="186">
        <f t="shared" si="8"/>
        <v>26885.479999999996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E29-серпень!E29</f>
        <v>0</v>
      </c>
      <c r="O29" s="200">
        <f>F29-серпень!F29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55.31</v>
      </c>
      <c r="F30" s="196">
        <v>87.95</v>
      </c>
      <c r="G30" s="190">
        <f t="shared" si="0"/>
        <v>32.64</v>
      </c>
      <c r="H30" s="197">
        <f t="shared" si="3"/>
        <v>159.01283673838364</v>
      </c>
      <c r="I30" s="198">
        <f t="shared" si="4"/>
        <v>10.950000000000003</v>
      </c>
      <c r="J30" s="198">
        <f t="shared" si="5"/>
        <v>114.22077922077922</v>
      </c>
      <c r="K30" s="198">
        <v>55.85</v>
      </c>
      <c r="L30" s="198">
        <f t="shared" si="1"/>
        <v>32.1</v>
      </c>
      <c r="M30" s="255">
        <f>F30/K30</f>
        <v>1.5747538048343779</v>
      </c>
      <c r="N30" s="197">
        <f>E30-серпень!E30</f>
        <v>7</v>
      </c>
      <c r="O30" s="200">
        <f>F30-серпень!F30</f>
        <v>2</v>
      </c>
      <c r="P30" s="201">
        <f t="shared" si="6"/>
        <v>-5</v>
      </c>
      <c r="Q30" s="198">
        <f>O30/N30*100</f>
        <v>28.57142857142857</v>
      </c>
      <c r="R30" s="113"/>
      <c r="S30" s="114"/>
      <c r="T30" s="186">
        <f t="shared" si="8"/>
        <v>21.689999999999998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-159.01</v>
      </c>
      <c r="G31" s="190">
        <f t="shared" si="0"/>
        <v>-159.01</v>
      </c>
      <c r="H31" s="197"/>
      <c r="I31" s="198">
        <f t="shared" si="4"/>
        <v>-159.01</v>
      </c>
      <c r="J31" s="198"/>
      <c r="K31" s="198">
        <v>-705.98</v>
      </c>
      <c r="L31" s="198">
        <f t="shared" si="1"/>
        <v>546.97</v>
      </c>
      <c r="M31" s="255">
        <f>F31/K31</f>
        <v>0.22523300943369498</v>
      </c>
      <c r="N31" s="197">
        <f>E31-серпень!E31</f>
        <v>0</v>
      </c>
      <c r="O31" s="200">
        <f>F31-серпень!F31</f>
        <v>-8.780000000000001</v>
      </c>
      <c r="P31" s="201">
        <f t="shared" si="6"/>
        <v>-8.780000000000001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f>110699.84+1500</f>
        <v>112199.84</v>
      </c>
      <c r="F32" s="203">
        <v>111649.17</v>
      </c>
      <c r="G32" s="202">
        <f t="shared" si="0"/>
        <v>-550.6699999999983</v>
      </c>
      <c r="H32" s="204">
        <f t="shared" si="3"/>
        <v>99.50920607373416</v>
      </c>
      <c r="I32" s="205">
        <f t="shared" si="4"/>
        <v>-29350.83</v>
      </c>
      <c r="J32" s="205">
        <f t="shared" si="5"/>
        <v>79.1838085106383</v>
      </c>
      <c r="K32" s="219">
        <v>71777.4</v>
      </c>
      <c r="L32" s="219">
        <f>F32-K32</f>
        <v>39871.770000000004</v>
      </c>
      <c r="M32" s="411">
        <f>F32/K32</f>
        <v>1.555491979369551</v>
      </c>
      <c r="N32" s="197">
        <f>E32-серпень!E32</f>
        <v>5684</v>
      </c>
      <c r="O32" s="200">
        <f>F32-серпень!F32</f>
        <v>4590.050000000003</v>
      </c>
      <c r="P32" s="207">
        <f t="shared" si="6"/>
        <v>-1093.949999999997</v>
      </c>
      <c r="Q32" s="205">
        <f>O32/N32*100</f>
        <v>80.75387051372277</v>
      </c>
      <c r="R32" s="113"/>
      <c r="S32" s="114"/>
      <c r="T32" s="186">
        <f t="shared" si="8"/>
        <v>28800.160000000003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E33-серпень!E33</f>
        <v>0</v>
      </c>
      <c r="O33" s="179">
        <f>F33-серпень!F33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f>27862.97+500</f>
        <v>28362.97</v>
      </c>
      <c r="F34" s="171">
        <v>28237.35</v>
      </c>
      <c r="G34" s="109">
        <f t="shared" si="0"/>
        <v>-125.62000000000262</v>
      </c>
      <c r="H34" s="111">
        <f t="shared" si="3"/>
        <v>99.55709856901444</v>
      </c>
      <c r="I34" s="110">
        <f t="shared" si="4"/>
        <v>-5979.6500000000015</v>
      </c>
      <c r="J34" s="110">
        <f t="shared" si="5"/>
        <v>82.52433001139784</v>
      </c>
      <c r="K34" s="142">
        <v>17739.76</v>
      </c>
      <c r="L34" s="142">
        <f t="shared" si="1"/>
        <v>10497.59</v>
      </c>
      <c r="M34" s="264">
        <f t="shared" si="10"/>
        <v>1.5917549053651234</v>
      </c>
      <c r="N34" s="111">
        <f>E34-серпень!E34</f>
        <v>1400</v>
      </c>
      <c r="O34" s="179">
        <f>F34-серпень!F34</f>
        <v>854.2699999999968</v>
      </c>
      <c r="P34" s="112">
        <f t="shared" si="6"/>
        <v>-545.7300000000032</v>
      </c>
      <c r="Q34" s="110">
        <f>O34/N34*100</f>
        <v>61.01928571428549</v>
      </c>
      <c r="R34" s="113"/>
      <c r="S34" s="114"/>
      <c r="T34" s="186">
        <f t="shared" si="8"/>
        <v>5854.029999999999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f>82820.08+1000</f>
        <v>83820.08</v>
      </c>
      <c r="F35" s="171">
        <v>83390.57</v>
      </c>
      <c r="G35" s="109">
        <f t="shared" si="0"/>
        <v>-429.50999999999476</v>
      </c>
      <c r="H35" s="111">
        <f t="shared" si="3"/>
        <v>99.4875810187726</v>
      </c>
      <c r="I35" s="110">
        <f t="shared" si="4"/>
        <v>-23341.429999999993</v>
      </c>
      <c r="J35" s="110">
        <f t="shared" si="5"/>
        <v>78.13080425739236</v>
      </c>
      <c r="K35" s="142">
        <v>54015.97</v>
      </c>
      <c r="L35" s="142">
        <f t="shared" si="1"/>
        <v>29374.600000000006</v>
      </c>
      <c r="M35" s="264">
        <f t="shared" si="10"/>
        <v>1.5438132463417764</v>
      </c>
      <c r="N35" s="111">
        <f>E35-серпень!E35</f>
        <v>4284</v>
      </c>
      <c r="O35" s="179">
        <f>F35-серпень!F35</f>
        <v>3739.770000000004</v>
      </c>
      <c r="P35" s="112">
        <f t="shared" si="6"/>
        <v>-544.2299999999959</v>
      </c>
      <c r="Q35" s="110">
        <f>O35/N35*100</f>
        <v>87.29621848739505</v>
      </c>
      <c r="R35" s="113"/>
      <c r="S35" s="114"/>
      <c r="T35" s="186">
        <f t="shared" si="8"/>
        <v>22911.92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21.02</v>
      </c>
      <c r="G36" s="109">
        <f t="shared" si="0"/>
        <v>4.23</v>
      </c>
      <c r="H36" s="111">
        <f t="shared" si="3"/>
        <v>125.19356759976176</v>
      </c>
      <c r="I36" s="110">
        <f t="shared" si="4"/>
        <v>-29.98</v>
      </c>
      <c r="J36" s="110">
        <f t="shared" si="5"/>
        <v>41.21568627450981</v>
      </c>
      <c r="K36" s="142">
        <v>22.84</v>
      </c>
      <c r="L36" s="142">
        <f t="shared" si="1"/>
        <v>-1.8200000000000003</v>
      </c>
      <c r="M36" s="264">
        <f t="shared" si="10"/>
        <v>0.9203152364273205</v>
      </c>
      <c r="N36" s="111">
        <f>E36-серпень!E36</f>
        <v>0</v>
      </c>
      <c r="O36" s="179">
        <f>F36-серпень!F36</f>
        <v>-3.9800000000000004</v>
      </c>
      <c r="P36" s="112">
        <f t="shared" si="6"/>
        <v>-3.9800000000000004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5579.18</v>
      </c>
      <c r="L37" s="132">
        <f t="shared" si="1"/>
        <v>-5579.18</v>
      </c>
      <c r="M37" s="265">
        <f t="shared" si="10"/>
        <v>0</v>
      </c>
      <c r="N37" s="32">
        <v>0</v>
      </c>
      <c r="O37" s="179">
        <f>F37-серпень!F37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49125.03</v>
      </c>
      <c r="F38" s="191">
        <f>F39+F40+F41+F42+F43+F45+F47+F48+F49+F50+F51+F56+F57+F61+F44</f>
        <v>49080.65000000001</v>
      </c>
      <c r="G38" s="191">
        <f>G39+G40+G41+G42+G43+G45+G47+G48+G49+G50+G51+G56+G57+G61</f>
        <v>-71.52999999999764</v>
      </c>
      <c r="H38" s="192">
        <f>F38/E38*100</f>
        <v>99.90965908824893</v>
      </c>
      <c r="I38" s="193">
        <f>F38-D38</f>
        <v>-12761.829999999994</v>
      </c>
      <c r="J38" s="193">
        <f>F38/D38*100</f>
        <v>79.36397440723594</v>
      </c>
      <c r="K38" s="191">
        <v>28244.63</v>
      </c>
      <c r="L38" s="191">
        <f t="shared" si="1"/>
        <v>20836.020000000008</v>
      </c>
      <c r="M38" s="250">
        <f t="shared" si="10"/>
        <v>1.7376984580785801</v>
      </c>
      <c r="N38" s="191">
        <f>N39+N40+N41+N42+N43+N45+N47+N48+N49+N50+N51+N56+N57+N61+N44</f>
        <v>6064</v>
      </c>
      <c r="O38" s="191">
        <f>O39+O40+O41+O42+O43+O45+O47+O48+O49+O50+O51+O56+O57+O61+O44</f>
        <v>6092.370000000001</v>
      </c>
      <c r="P38" s="191">
        <f>P39+P40+P41+P42+P43+P45+P47+P48+P49+P50+P51+P56+P57+P61</f>
        <v>28.370000000001554</v>
      </c>
      <c r="Q38" s="191">
        <f>O38/N38*100</f>
        <v>100.46784300791558</v>
      </c>
      <c r="R38" s="15" t="e">
        <f>#N/A</f>
        <v>#N/A</v>
      </c>
      <c r="S38" s="15" t="e">
        <f>#N/A</f>
        <v>#N/A</v>
      </c>
      <c r="T38" s="186">
        <f t="shared" si="8"/>
        <v>12717.450000000004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383</v>
      </c>
      <c r="F39" s="196">
        <v>420.88</v>
      </c>
      <c r="G39" s="202">
        <f>F39-E39</f>
        <v>37.879999999999995</v>
      </c>
      <c r="H39" s="204">
        <f aca="true" t="shared" si="11" ref="H39:H62">F39/E39*100</f>
        <v>109.89033942558746</v>
      </c>
      <c r="I39" s="205">
        <f>F39-D39</f>
        <v>20.879999999999995</v>
      </c>
      <c r="J39" s="205">
        <f>F39/D39*100</f>
        <v>105.22</v>
      </c>
      <c r="K39" s="205">
        <v>-60.36</v>
      </c>
      <c r="L39" s="205">
        <f t="shared" si="1"/>
        <v>481.24</v>
      </c>
      <c r="M39" s="266">
        <f t="shared" si="10"/>
        <v>-6.972829688535454</v>
      </c>
      <c r="N39" s="204">
        <f>E39-серпень!E39</f>
        <v>3</v>
      </c>
      <c r="O39" s="208">
        <f>F39-серпень!F39</f>
        <v>4.0400000000000205</v>
      </c>
      <c r="P39" s="207">
        <f>O39-N39</f>
        <v>1.0400000000000205</v>
      </c>
      <c r="Q39" s="205">
        <f aca="true" t="shared" si="12" ref="Q39:Q62">O39/N39*100</f>
        <v>134.66666666666737</v>
      </c>
      <c r="R39" s="42"/>
      <c r="S39" s="100"/>
      <c r="T39" s="186">
        <f t="shared" si="8"/>
        <v>17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f>23237+929</f>
        <v>24166</v>
      </c>
      <c r="F40" s="196">
        <v>24166.13</v>
      </c>
      <c r="G40" s="202">
        <f aca="true" t="shared" si="13" ref="G40:G63">F40-E40</f>
        <v>0.13000000000101863</v>
      </c>
      <c r="H40" s="204">
        <f t="shared" si="11"/>
        <v>100.00053794587438</v>
      </c>
      <c r="I40" s="205">
        <f aca="true" t="shared" si="14" ref="I40:I63">F40-D40</f>
        <v>-5840.869999999999</v>
      </c>
      <c r="J40" s="205">
        <f>F40/D40*100</f>
        <v>80.53497517245977</v>
      </c>
      <c r="K40" s="205">
        <v>4154.01</v>
      </c>
      <c r="L40" s="205">
        <f t="shared" si="1"/>
        <v>20012.120000000003</v>
      </c>
      <c r="M40" s="266"/>
      <c r="N40" s="204">
        <f>E40-серпень!E40</f>
        <v>3699</v>
      </c>
      <c r="O40" s="208">
        <f>F40-серпень!F40-0.01</f>
        <v>3605.9400000000005</v>
      </c>
      <c r="P40" s="207">
        <f aca="true" t="shared" si="15" ref="P40:P63">O40-N40</f>
        <v>-93.05999999999949</v>
      </c>
      <c r="Q40" s="205">
        <f t="shared" si="12"/>
        <v>97.48418491484186</v>
      </c>
      <c r="R40" s="42"/>
      <c r="S40" s="100"/>
      <c r="T40" s="186">
        <f t="shared" si="8"/>
        <v>5841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321.98</v>
      </c>
      <c r="L41" s="205">
        <f t="shared" si="1"/>
        <v>-290</v>
      </c>
      <c r="M41" s="266">
        <f aca="true" t="shared" si="17" ref="M41:M63">F41/K41</f>
        <v>0.0993229393130008</v>
      </c>
      <c r="N41" s="204">
        <f>E41-серпень!E41</f>
        <v>0</v>
      </c>
      <c r="O41" s="208">
        <f>F41-серпень!F41</f>
        <v>3.91</v>
      </c>
      <c r="P41" s="207">
        <f t="shared" si="15"/>
        <v>3.91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E42-серпень!E42</f>
        <v>0</v>
      </c>
      <c r="O42" s="208">
        <f>F42-серпень!F42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90</v>
      </c>
      <c r="F43" s="196">
        <v>196.66</v>
      </c>
      <c r="G43" s="202">
        <f t="shared" si="13"/>
        <v>106.66</v>
      </c>
      <c r="H43" s="204">
        <f t="shared" si="11"/>
        <v>218.5111111111111</v>
      </c>
      <c r="I43" s="205">
        <f t="shared" si="14"/>
        <v>46.66</v>
      </c>
      <c r="J43" s="205">
        <f t="shared" si="16"/>
        <v>131.10666666666665</v>
      </c>
      <c r="K43" s="205">
        <v>117.11</v>
      </c>
      <c r="L43" s="205">
        <f t="shared" si="1"/>
        <v>79.55</v>
      </c>
      <c r="M43" s="266">
        <f t="shared" si="17"/>
        <v>1.6792758944582016</v>
      </c>
      <c r="N43" s="204">
        <f>E43-серпень!E43</f>
        <v>10</v>
      </c>
      <c r="O43" s="208">
        <f>F43-серпень!F43</f>
        <v>1.539999999999992</v>
      </c>
      <c r="P43" s="207">
        <f t="shared" si="15"/>
        <v>-8.460000000000008</v>
      </c>
      <c r="Q43" s="205">
        <f t="shared" si="12"/>
        <v>15.399999999999919</v>
      </c>
      <c r="R43" s="42"/>
      <c r="S43" s="100"/>
      <c r="T43" s="186">
        <f t="shared" si="8"/>
        <v>60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4</v>
      </c>
      <c r="L44" s="205">
        <f t="shared" si="1"/>
        <v>37.15</v>
      </c>
      <c r="M44" s="266">
        <f t="shared" si="17"/>
        <v>10.2875</v>
      </c>
      <c r="N44" s="204">
        <f>E44-серпень!E44</f>
        <v>0</v>
      </c>
      <c r="O44" s="208">
        <f>F44-серпень!F44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264</v>
      </c>
      <c r="F45" s="196">
        <v>406.45</v>
      </c>
      <c r="G45" s="202">
        <f t="shared" si="13"/>
        <v>142.45</v>
      </c>
      <c r="H45" s="204">
        <f t="shared" si="11"/>
        <v>153.95833333333334</v>
      </c>
      <c r="I45" s="205">
        <f t="shared" si="14"/>
        <v>106.44999999999999</v>
      </c>
      <c r="J45" s="205">
        <f t="shared" si="16"/>
        <v>135.48333333333332</v>
      </c>
      <c r="K45" s="205">
        <v>0</v>
      </c>
      <c r="L45" s="205">
        <f t="shared" si="1"/>
        <v>406.45</v>
      </c>
      <c r="M45" s="266"/>
      <c r="N45" s="204">
        <f>E45-серпень!E45</f>
        <v>8</v>
      </c>
      <c r="O45" s="208">
        <f>F45-серпень!F45</f>
        <v>78.33999999999997</v>
      </c>
      <c r="P45" s="207">
        <f t="shared" si="15"/>
        <v>70.33999999999997</v>
      </c>
      <c r="Q45" s="205">
        <f t="shared" si="12"/>
        <v>979.2499999999997</v>
      </c>
      <c r="R45" s="42"/>
      <c r="S45" s="100"/>
      <c r="T45" s="186">
        <f t="shared" si="8"/>
        <v>36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E46-серпень!E46</f>
        <v>0</v>
      </c>
      <c r="O46" s="208">
        <f>F46-серпень!F46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7849.02</v>
      </c>
      <c r="F47" s="196">
        <v>7871.33</v>
      </c>
      <c r="G47" s="202">
        <f t="shared" si="13"/>
        <v>22.30999999999949</v>
      </c>
      <c r="H47" s="204">
        <f t="shared" si="11"/>
        <v>100.2842393063083</v>
      </c>
      <c r="I47" s="205">
        <f t="shared" si="14"/>
        <v>-2028.67</v>
      </c>
      <c r="J47" s="205">
        <f t="shared" si="16"/>
        <v>79.50838383838384</v>
      </c>
      <c r="K47" s="205">
        <v>7605.46</v>
      </c>
      <c r="L47" s="205">
        <f t="shared" si="1"/>
        <v>265.8699999999999</v>
      </c>
      <c r="M47" s="266">
        <f t="shared" si="17"/>
        <v>1.0349577803314987</v>
      </c>
      <c r="N47" s="204">
        <f>E47-серпень!E47</f>
        <v>800</v>
      </c>
      <c r="O47" s="208">
        <f>F47-серпень!F47</f>
        <v>808.6899999999996</v>
      </c>
      <c r="P47" s="207">
        <f t="shared" si="15"/>
        <v>8.6899999999996</v>
      </c>
      <c r="Q47" s="205">
        <f t="shared" si="12"/>
        <v>101.08624999999995</v>
      </c>
      <c r="R47" s="42"/>
      <c r="S47" s="100"/>
      <c r="T47" s="186">
        <f t="shared" si="8"/>
        <v>2050.9799999999996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200.04</v>
      </c>
      <c r="G48" s="202">
        <f t="shared" si="13"/>
        <v>-449.96000000000004</v>
      </c>
      <c r="H48" s="204">
        <f t="shared" si="11"/>
        <v>30.775384615384617</v>
      </c>
      <c r="I48" s="205">
        <f t="shared" si="14"/>
        <v>-449.96000000000004</v>
      </c>
      <c r="J48" s="205">
        <f t="shared" si="16"/>
        <v>30.775384615384617</v>
      </c>
      <c r="K48" s="205">
        <v>0</v>
      </c>
      <c r="L48" s="205">
        <f t="shared" si="1"/>
        <v>200.04</v>
      </c>
      <c r="M48" s="266"/>
      <c r="N48" s="204">
        <f>E48-серпень!E48</f>
        <v>0</v>
      </c>
      <c r="O48" s="208">
        <f>F48-серпень!F48</f>
        <v>31.78</v>
      </c>
      <c r="P48" s="207">
        <f t="shared" si="15"/>
        <v>31.78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32</v>
      </c>
      <c r="F49" s="196">
        <v>16.26</v>
      </c>
      <c r="G49" s="202">
        <f t="shared" si="13"/>
        <v>-15.739999999999998</v>
      </c>
      <c r="H49" s="204">
        <f t="shared" si="11"/>
        <v>50.81250000000001</v>
      </c>
      <c r="I49" s="205">
        <f t="shared" si="14"/>
        <v>-33.739999999999995</v>
      </c>
      <c r="J49" s="205">
        <f t="shared" si="16"/>
        <v>32.52</v>
      </c>
      <c r="K49" s="205">
        <v>0</v>
      </c>
      <c r="L49" s="205">
        <f t="shared" si="1"/>
        <v>16.26</v>
      </c>
      <c r="M49" s="266"/>
      <c r="N49" s="204">
        <f>E49-серпень!E49</f>
        <v>4</v>
      </c>
      <c r="O49" s="208">
        <f>F49-серпень!F49</f>
        <v>0.8200000000000021</v>
      </c>
      <c r="P49" s="207">
        <f t="shared" si="15"/>
        <v>-3.179999999999998</v>
      </c>
      <c r="Q49" s="205">
        <f t="shared" si="12"/>
        <v>20.50000000000005</v>
      </c>
      <c r="R49" s="42"/>
      <c r="S49" s="100"/>
      <c r="T49" s="186">
        <f t="shared" si="8"/>
        <v>18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5916.23</v>
      </c>
      <c r="F50" s="196">
        <v>5625.22</v>
      </c>
      <c r="G50" s="202">
        <f t="shared" si="13"/>
        <v>-291.0099999999993</v>
      </c>
      <c r="H50" s="204">
        <f t="shared" si="11"/>
        <v>95.08115810237264</v>
      </c>
      <c r="I50" s="205">
        <f t="shared" si="14"/>
        <v>-2374.7799999999997</v>
      </c>
      <c r="J50" s="205">
        <f t="shared" si="16"/>
        <v>70.31525</v>
      </c>
      <c r="K50" s="205">
        <v>6785.09</v>
      </c>
      <c r="L50" s="205">
        <f t="shared" si="1"/>
        <v>-1159.87</v>
      </c>
      <c r="M50" s="266">
        <f t="shared" si="17"/>
        <v>0.8290560626314464</v>
      </c>
      <c r="N50" s="204">
        <f>E50-серпень!E50</f>
        <v>650</v>
      </c>
      <c r="O50" s="208">
        <f>F50-серпень!F50</f>
        <v>557.0300000000007</v>
      </c>
      <c r="P50" s="207">
        <f t="shared" si="15"/>
        <v>-92.96999999999935</v>
      </c>
      <c r="Q50" s="205">
        <f t="shared" si="12"/>
        <v>85.69692307692318</v>
      </c>
      <c r="R50" s="42"/>
      <c r="S50" s="100"/>
      <c r="T50" s="186">
        <f t="shared" si="8"/>
        <v>2083.7700000000004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4911.19</v>
      </c>
      <c r="F51" s="196">
        <v>4841.04</v>
      </c>
      <c r="G51" s="202">
        <f t="shared" si="13"/>
        <v>-70.14999999999964</v>
      </c>
      <c r="H51" s="204">
        <f t="shared" si="11"/>
        <v>98.57162927925819</v>
      </c>
      <c r="I51" s="205">
        <f t="shared" si="14"/>
        <v>-2159</v>
      </c>
      <c r="J51" s="205">
        <f t="shared" si="16"/>
        <v>69.1573191010337</v>
      </c>
      <c r="K51" s="205">
        <v>5721.95</v>
      </c>
      <c r="L51" s="205">
        <f t="shared" si="1"/>
        <v>-880.9099999999999</v>
      </c>
      <c r="M51" s="266">
        <f t="shared" si="17"/>
        <v>0.8460472391405028</v>
      </c>
      <c r="N51" s="204">
        <f>E51-серпень!E51</f>
        <v>520</v>
      </c>
      <c r="O51" s="208">
        <f>F51-серпень!F51</f>
        <v>493.4300000000003</v>
      </c>
      <c r="P51" s="207">
        <f t="shared" si="15"/>
        <v>-26.56999999999971</v>
      </c>
      <c r="Q51" s="205">
        <f t="shared" si="12"/>
        <v>94.89038461538468</v>
      </c>
      <c r="R51" s="42"/>
      <c r="S51" s="100"/>
      <c r="T51" s="186">
        <f t="shared" si="8"/>
        <v>2088.8500000000004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683.99</v>
      </c>
      <c r="F52" s="171">
        <v>631.61</v>
      </c>
      <c r="G52" s="36">
        <f t="shared" si="13"/>
        <v>-52.379999999999995</v>
      </c>
      <c r="H52" s="32">
        <f t="shared" si="11"/>
        <v>92.34199330399568</v>
      </c>
      <c r="I52" s="110">
        <f t="shared" si="14"/>
        <v>-338.39</v>
      </c>
      <c r="J52" s="110">
        <f t="shared" si="16"/>
        <v>65.11443298969071</v>
      </c>
      <c r="K52" s="110">
        <v>801.84</v>
      </c>
      <c r="L52" s="110">
        <f>F52-K52</f>
        <v>-170.23000000000002</v>
      </c>
      <c r="M52" s="115">
        <f t="shared" si="17"/>
        <v>0.7877007881871695</v>
      </c>
      <c r="N52" s="111">
        <f>E52-серпень!E52</f>
        <v>20</v>
      </c>
      <c r="O52" s="179">
        <f>F52-серпень!F52</f>
        <v>61.48000000000002</v>
      </c>
      <c r="P52" s="112">
        <f t="shared" si="15"/>
        <v>41.48000000000002</v>
      </c>
      <c r="Q52" s="132">
        <f t="shared" si="12"/>
        <v>307.4000000000001</v>
      </c>
      <c r="R52" s="42"/>
      <c r="S52" s="100"/>
      <c r="T52" s="186">
        <f t="shared" si="8"/>
        <v>286.01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44.07</v>
      </c>
      <c r="L53" s="110">
        <f>F53-K53</f>
        <v>-43.8</v>
      </c>
      <c r="M53" s="115">
        <f t="shared" si="17"/>
        <v>0.006126616746085773</v>
      </c>
      <c r="N53" s="111">
        <f>E53-серпень!E53</f>
        <v>0</v>
      </c>
      <c r="O53" s="179">
        <f>F53-серпень!F53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E54-серпень!E54</f>
        <v>0</v>
      </c>
      <c r="O54" s="179">
        <f>F54-серпень!F54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4222.17</v>
      </c>
      <c r="F55" s="171">
        <v>4209.15</v>
      </c>
      <c r="G55" s="36">
        <f t="shared" si="13"/>
        <v>-13.020000000000437</v>
      </c>
      <c r="H55" s="32">
        <f t="shared" si="11"/>
        <v>99.69162776486972</v>
      </c>
      <c r="I55" s="110">
        <f t="shared" si="14"/>
        <v>-1814.8500000000004</v>
      </c>
      <c r="J55" s="110">
        <f t="shared" si="16"/>
        <v>69.87300796812748</v>
      </c>
      <c r="K55" s="110">
        <v>4875.29</v>
      </c>
      <c r="L55" s="110">
        <f>F55-K55</f>
        <v>-666.1400000000003</v>
      </c>
      <c r="M55" s="115">
        <f t="shared" si="17"/>
        <v>0.8633640255246354</v>
      </c>
      <c r="N55" s="111">
        <f>E55-серпень!E55</f>
        <v>500</v>
      </c>
      <c r="O55" s="179">
        <f>F55-серпень!F55</f>
        <v>431.9599999999996</v>
      </c>
      <c r="P55" s="112">
        <f t="shared" si="15"/>
        <v>-68.04000000000042</v>
      </c>
      <c r="Q55" s="132">
        <f t="shared" si="12"/>
        <v>86.39199999999991</v>
      </c>
      <c r="R55" s="42"/>
      <c r="S55" s="100"/>
      <c r="T55" s="186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E56-серпень!E56</f>
        <v>0</v>
      </c>
      <c r="O56" s="208">
        <f>F56-серпень!F56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4637.98</v>
      </c>
      <c r="F57" s="196">
        <v>5102.02</v>
      </c>
      <c r="G57" s="202">
        <f t="shared" si="13"/>
        <v>464.0400000000009</v>
      </c>
      <c r="H57" s="204">
        <f t="shared" si="11"/>
        <v>110.00521778877876</v>
      </c>
      <c r="I57" s="205">
        <f t="shared" si="14"/>
        <v>-47.97999999999956</v>
      </c>
      <c r="J57" s="205">
        <f t="shared" si="16"/>
        <v>99.06834951456311</v>
      </c>
      <c r="K57" s="205">
        <v>3571.45</v>
      </c>
      <c r="L57" s="205">
        <f aca="true" t="shared" si="18" ref="L57:L63">F57-K57</f>
        <v>1530.5700000000006</v>
      </c>
      <c r="M57" s="266">
        <f t="shared" si="17"/>
        <v>1.4285570286578282</v>
      </c>
      <c r="N57" s="204">
        <f>E57-серпень!E57</f>
        <v>370</v>
      </c>
      <c r="O57" s="208">
        <f>F57-серпень!F57</f>
        <v>500.1900000000005</v>
      </c>
      <c r="P57" s="207">
        <f t="shared" si="15"/>
        <v>130.1900000000005</v>
      </c>
      <c r="Q57" s="205">
        <f t="shared" si="12"/>
        <v>135.18648648648664</v>
      </c>
      <c r="R57" s="42"/>
      <c r="S57" s="100"/>
      <c r="T57" s="186">
        <f t="shared" si="8"/>
        <v>512.0200000000004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E58-серпень!E58</f>
        <v>0</v>
      </c>
      <c r="O58" s="208">
        <f>F58-серпень!F58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995.03</v>
      </c>
      <c r="G59" s="202"/>
      <c r="H59" s="204"/>
      <c r="I59" s="205"/>
      <c r="J59" s="205"/>
      <c r="K59" s="206">
        <v>979.24</v>
      </c>
      <c r="L59" s="205">
        <f t="shared" si="18"/>
        <v>15.789999999999964</v>
      </c>
      <c r="M59" s="266">
        <f t="shared" si="17"/>
        <v>1.016124749805972</v>
      </c>
      <c r="N59" s="204"/>
      <c r="O59" s="208">
        <f>F59-серпень!F59</f>
        <v>127.92999999999995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E60-серпень!E60</f>
        <v>0</v>
      </c>
      <c r="O60" s="208">
        <f>F60-серпень!F60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E61-серпень!E61</f>
        <v>0</v>
      </c>
      <c r="O61" s="208">
        <f>F61-серпень!F61</f>
        <v>6.659999999999997</v>
      </c>
      <c r="P61" s="207">
        <f t="shared" si="15"/>
        <v>6.659999999999997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19.1</v>
      </c>
      <c r="F62" s="196">
        <v>13.52</v>
      </c>
      <c r="G62" s="202">
        <f t="shared" si="13"/>
        <v>-5.580000000000002</v>
      </c>
      <c r="H62" s="204">
        <f t="shared" si="11"/>
        <v>70.7853403141361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E62-серпень!E62</f>
        <v>2.3000000000000007</v>
      </c>
      <c r="O62" s="208">
        <f>F62-серпень!F62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10.899999999999999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E63-серпень!E63</f>
        <v>0</v>
      </c>
      <c r="O63" s="208">
        <f>F63-серпень!F63</f>
        <v>-0.010000000000000009</v>
      </c>
      <c r="P63" s="207">
        <f t="shared" si="15"/>
        <v>-0.010000000000000009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750995.14</v>
      </c>
      <c r="F64" s="191">
        <f>F8+F38+F62+F63</f>
        <v>730428.1200000001</v>
      </c>
      <c r="G64" s="191">
        <f>F64-E64</f>
        <v>-20567.019999999902</v>
      </c>
      <c r="H64" s="192">
        <f>F64/E64*100</f>
        <v>97.26136443439569</v>
      </c>
      <c r="I64" s="193">
        <f>F64-D64</f>
        <v>-288516.61</v>
      </c>
      <c r="J64" s="193">
        <f>F64/D64*100</f>
        <v>71.68476351018569</v>
      </c>
      <c r="K64" s="193">
        <v>509138.63</v>
      </c>
      <c r="L64" s="193">
        <f>F64-K64</f>
        <v>221289.4900000001</v>
      </c>
      <c r="M64" s="267">
        <f>F64/K64</f>
        <v>1.4346350423262915</v>
      </c>
      <c r="N64" s="191">
        <f>N8+N38+N62+N63</f>
        <v>78559.13</v>
      </c>
      <c r="O64" s="191">
        <f>O8+O38+O62+O63</f>
        <v>53904.46000000001</v>
      </c>
      <c r="P64" s="195">
        <f>O64-N64</f>
        <v>-24654.67</v>
      </c>
      <c r="Q64" s="193">
        <f>O64/N64*100</f>
        <v>68.6164167042074</v>
      </c>
      <c r="R64" s="28">
        <f>O64-34768</f>
        <v>19136.460000000006</v>
      </c>
      <c r="S64" s="128">
        <f>O64/34768</f>
        <v>1.5504043948458355</v>
      </c>
      <c r="T64" s="186">
        <f t="shared" si="8"/>
        <v>267949.5900000001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F69-серпень!F69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-51.7</v>
      </c>
      <c r="L70" s="207">
        <f>F70-K70</f>
        <v>47.870000000000005</v>
      </c>
      <c r="M70" s="254">
        <f>F70/K70</f>
        <v>0.07408123791102514</v>
      </c>
      <c r="N70" s="204"/>
      <c r="O70" s="223">
        <f>F70-серпень!F70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1553.93</v>
      </c>
      <c r="G73" s="202">
        <f aca="true" t="shared" si="19" ref="G73:G83">F73-E73</f>
        <v>-1146.07</v>
      </c>
      <c r="H73" s="204"/>
      <c r="I73" s="207">
        <f aca="true" t="shared" si="20" ref="I73:I83">F73-D73</f>
        <v>-2646.0699999999997</v>
      </c>
      <c r="J73" s="207">
        <f>F73/D73*100</f>
        <v>36.998333333333335</v>
      </c>
      <c r="K73" s="207">
        <v>593.1</v>
      </c>
      <c r="L73" s="207">
        <f aca="true" t="shared" si="21" ref="L73:L83">F73-K73</f>
        <v>960.83</v>
      </c>
      <c r="M73" s="254">
        <f>F73/K73</f>
        <v>2.6200134884505144</v>
      </c>
      <c r="N73" s="204">
        <f>E73-серпень!E73</f>
        <v>500</v>
      </c>
      <c r="O73" s="208">
        <f>F73-серпень!F73</f>
        <v>18.75999999999999</v>
      </c>
      <c r="P73" s="207">
        <f aca="true" t="shared" si="22" ref="P73:P86">O73-N73</f>
        <v>-481.24</v>
      </c>
      <c r="Q73" s="207">
        <f>O73/N73*100</f>
        <v>3.7519999999999984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4692.21</v>
      </c>
      <c r="F74" s="222">
        <v>6859.83</v>
      </c>
      <c r="G74" s="202">
        <f t="shared" si="19"/>
        <v>2167.62</v>
      </c>
      <c r="H74" s="204">
        <f>F74/E74*100</f>
        <v>146.19614211640143</v>
      </c>
      <c r="I74" s="207">
        <f t="shared" si="20"/>
        <v>-599.1700000000001</v>
      </c>
      <c r="J74" s="207">
        <f>F74/D74*100</f>
        <v>91.96715377396434</v>
      </c>
      <c r="K74" s="207">
        <v>3987.63</v>
      </c>
      <c r="L74" s="207">
        <f t="shared" si="21"/>
        <v>2872.2</v>
      </c>
      <c r="M74" s="254">
        <f>F74/K74</f>
        <v>1.7202774580389855</v>
      </c>
      <c r="N74" s="204">
        <f>E74-серпень!E74</f>
        <v>815</v>
      </c>
      <c r="O74" s="208">
        <f>F74-серпень!F74</f>
        <v>76.30000000000018</v>
      </c>
      <c r="P74" s="207">
        <f t="shared" si="22"/>
        <v>-738.6999999999998</v>
      </c>
      <c r="Q74" s="207">
        <f>O74/N74*100</f>
        <v>9.36196319018407</v>
      </c>
      <c r="R74" s="43"/>
      <c r="S74" s="103"/>
      <c r="T74" s="186">
        <f aca="true" t="shared" si="23" ref="T74:T90">D74-E74</f>
        <v>2766.79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2698.85</v>
      </c>
      <c r="F75" s="222">
        <v>11589.36</v>
      </c>
      <c r="G75" s="202">
        <f t="shared" si="19"/>
        <v>8890.51</v>
      </c>
      <c r="H75" s="204">
        <f>F75/E75*100</f>
        <v>429.41845600904094</v>
      </c>
      <c r="I75" s="207">
        <f t="shared" si="20"/>
        <v>5589.360000000001</v>
      </c>
      <c r="J75" s="207">
        <f>F75/D75*100</f>
        <v>193.156</v>
      </c>
      <c r="K75" s="207">
        <v>1859.08</v>
      </c>
      <c r="L75" s="207">
        <f t="shared" si="21"/>
        <v>9730.28</v>
      </c>
      <c r="M75" s="254">
        <f>F75/K75</f>
        <v>6.233922155044431</v>
      </c>
      <c r="N75" s="204">
        <f>E75-серпень!E75</f>
        <v>302</v>
      </c>
      <c r="O75" s="208">
        <f>F75-серпень!F75</f>
        <v>1112.2200000000012</v>
      </c>
      <c r="P75" s="207">
        <f t="shared" si="22"/>
        <v>810.2200000000012</v>
      </c>
      <c r="Q75" s="207">
        <f>O75/N75*100</f>
        <v>368.28476821192095</v>
      </c>
      <c r="R75" s="43"/>
      <c r="S75" s="103"/>
      <c r="T75" s="186">
        <f t="shared" si="23"/>
        <v>3301.15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9</v>
      </c>
      <c r="F76" s="222">
        <v>10</v>
      </c>
      <c r="G76" s="202">
        <f t="shared" si="19"/>
        <v>1</v>
      </c>
      <c r="H76" s="204">
        <f>F76/E76*100</f>
        <v>111.11111111111111</v>
      </c>
      <c r="I76" s="207">
        <f t="shared" si="20"/>
        <v>-2</v>
      </c>
      <c r="J76" s="207">
        <f>F76/D76*100</f>
        <v>83.33333333333334</v>
      </c>
      <c r="K76" s="207">
        <v>29.22</v>
      </c>
      <c r="L76" s="207">
        <f t="shared" si="21"/>
        <v>-19.22</v>
      </c>
      <c r="M76" s="254"/>
      <c r="N76" s="204">
        <f>E76-серпень!E76</f>
        <v>1</v>
      </c>
      <c r="O76" s="208">
        <f>F76-серпень!F76</f>
        <v>4</v>
      </c>
      <c r="P76" s="207">
        <f t="shared" si="22"/>
        <v>3</v>
      </c>
      <c r="Q76" s="207">
        <f>O76/N76*100</f>
        <v>400</v>
      </c>
      <c r="R76" s="43"/>
      <c r="S76" s="151"/>
      <c r="T76" s="186">
        <f t="shared" si="23"/>
        <v>3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10100.06</v>
      </c>
      <c r="F77" s="225">
        <f>F73+F74+F75+F76</f>
        <v>20013.120000000003</v>
      </c>
      <c r="G77" s="226">
        <f t="shared" si="19"/>
        <v>9913.060000000003</v>
      </c>
      <c r="H77" s="227">
        <f>F77/E77*100</f>
        <v>198.1485258503415</v>
      </c>
      <c r="I77" s="228">
        <f t="shared" si="20"/>
        <v>2342.1200000000026</v>
      </c>
      <c r="J77" s="228">
        <f>F77/D77*100</f>
        <v>113.25403202987947</v>
      </c>
      <c r="K77" s="228">
        <v>6439.8</v>
      </c>
      <c r="L77" s="228">
        <f t="shared" si="21"/>
        <v>13573.320000000003</v>
      </c>
      <c r="M77" s="260">
        <f>F77/K77</f>
        <v>3.107723842355353</v>
      </c>
      <c r="N77" s="226">
        <f>N73+N74+N75+N76</f>
        <v>1618</v>
      </c>
      <c r="O77" s="230">
        <f>O73+O74+O75+O76</f>
        <v>1211.2800000000013</v>
      </c>
      <c r="P77" s="228">
        <f t="shared" si="22"/>
        <v>-406.71999999999866</v>
      </c>
      <c r="Q77" s="228">
        <f>O77/N77*100</f>
        <v>74.86279357231157</v>
      </c>
      <c r="R77" s="44"/>
      <c r="S77" s="129"/>
      <c r="T77" s="186">
        <f t="shared" si="23"/>
        <v>7570.9400000000005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10.49</v>
      </c>
      <c r="G78" s="202">
        <f t="shared" si="19"/>
        <v>10.49</v>
      </c>
      <c r="H78" s="204"/>
      <c r="I78" s="207">
        <f t="shared" si="20"/>
        <v>9.49</v>
      </c>
      <c r="J78" s="207"/>
      <c r="K78" s="207">
        <v>0.35</v>
      </c>
      <c r="L78" s="207">
        <f t="shared" si="21"/>
        <v>10.14</v>
      </c>
      <c r="M78" s="254">
        <f>F78/K78</f>
        <v>29.971428571428575</v>
      </c>
      <c r="N78" s="204">
        <f>E78-серпень!E78</f>
        <v>0</v>
      </c>
      <c r="O78" s="208">
        <f>F78-серпень!F78</f>
        <v>4.82</v>
      </c>
      <c r="P78" s="207">
        <f t="shared" si="22"/>
        <v>4.82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E79-серпень!E79</f>
        <v>0</v>
      </c>
      <c r="O79" s="208">
        <f>F79-серпень!F79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7624</v>
      </c>
      <c r="F80" s="222">
        <v>6825.6</v>
      </c>
      <c r="G80" s="202">
        <f t="shared" si="19"/>
        <v>-798.3999999999996</v>
      </c>
      <c r="H80" s="204">
        <f>F80/E80*100</f>
        <v>89.52780692549844</v>
      </c>
      <c r="I80" s="207">
        <f t="shared" si="20"/>
        <v>-2674.3999999999996</v>
      </c>
      <c r="J80" s="207">
        <f>F80/D80*100</f>
        <v>71.84842105263158</v>
      </c>
      <c r="K80" s="207">
        <v>0</v>
      </c>
      <c r="L80" s="207">
        <f t="shared" si="21"/>
        <v>6825.6</v>
      </c>
      <c r="M80" s="254"/>
      <c r="N80" s="204">
        <f>E80-серпень!E80</f>
        <v>0.3999999999996362</v>
      </c>
      <c r="O80" s="208">
        <f>F80-серпень!F80</f>
        <v>0.7700000000004366</v>
      </c>
      <c r="P80" s="207">
        <f>O80-N80</f>
        <v>0.37000000000080036</v>
      </c>
      <c r="Q80" s="231">
        <f>O80/N80*100</f>
        <v>192.50000000028422</v>
      </c>
      <c r="R80" s="46"/>
      <c r="S80" s="105"/>
      <c r="T80" s="186">
        <f t="shared" si="23"/>
        <v>1876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1.1</v>
      </c>
      <c r="G81" s="202">
        <f t="shared" si="19"/>
        <v>1.1</v>
      </c>
      <c r="H81" s="204"/>
      <c r="I81" s="207">
        <f t="shared" si="20"/>
        <v>1.1</v>
      </c>
      <c r="J81" s="207"/>
      <c r="K81" s="207">
        <v>1</v>
      </c>
      <c r="L81" s="207">
        <f t="shared" si="21"/>
        <v>0.10000000000000009</v>
      </c>
      <c r="M81" s="254">
        <f>F81/K81</f>
        <v>1.1</v>
      </c>
      <c r="N81" s="204">
        <f>E81-серпень!E81</f>
        <v>0</v>
      </c>
      <c r="O81" s="208">
        <f>F81-серпень!F81</f>
        <v>0.010000000000000009</v>
      </c>
      <c r="P81" s="207">
        <f t="shared" si="22"/>
        <v>0.010000000000000009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7624</v>
      </c>
      <c r="F82" s="225">
        <f>F78+F81+F79+F80</f>
        <v>6837.1900000000005</v>
      </c>
      <c r="G82" s="224">
        <f>G78+G81+G79+G80</f>
        <v>-786.8099999999996</v>
      </c>
      <c r="H82" s="227">
        <f>F82/E82*100</f>
        <v>89.67982686253936</v>
      </c>
      <c r="I82" s="228">
        <f t="shared" si="20"/>
        <v>-2663.8099999999995</v>
      </c>
      <c r="J82" s="228">
        <f>F82/D82*100</f>
        <v>71.96284601620883</v>
      </c>
      <c r="K82" s="228">
        <v>1.35</v>
      </c>
      <c r="L82" s="228">
        <f t="shared" si="21"/>
        <v>6835.84</v>
      </c>
      <c r="M82" s="268">
        <f>F82/K82</f>
        <v>5064.585185185185</v>
      </c>
      <c r="N82" s="226">
        <f>N78+N81+N79+N80</f>
        <v>0.3999999999996362</v>
      </c>
      <c r="O82" s="230">
        <f>O78+O81+O79+O80</f>
        <v>5.600000000000437</v>
      </c>
      <c r="P82" s="226">
        <f>P78+P81+P79+P80</f>
        <v>5.2000000000008</v>
      </c>
      <c r="Q82" s="228">
        <f>O82/N82*100</f>
        <v>1400.0000000013824</v>
      </c>
      <c r="R82" s="44"/>
      <c r="S82" s="102"/>
      <c r="T82" s="186">
        <f t="shared" si="23"/>
        <v>1877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28.97</v>
      </c>
      <c r="F83" s="222">
        <v>19.38</v>
      </c>
      <c r="G83" s="202">
        <f t="shared" si="19"/>
        <v>-9.59</v>
      </c>
      <c r="H83" s="204">
        <f>F83/E83*100</f>
        <v>66.89678978253365</v>
      </c>
      <c r="I83" s="207">
        <f t="shared" si="20"/>
        <v>-23.62</v>
      </c>
      <c r="J83" s="207">
        <f>F83/D83*100</f>
        <v>45.06976744186046</v>
      </c>
      <c r="K83" s="207">
        <v>29.22</v>
      </c>
      <c r="L83" s="207">
        <f t="shared" si="21"/>
        <v>-9.84</v>
      </c>
      <c r="M83" s="254">
        <f>F83/K83</f>
        <v>0.6632443531827515</v>
      </c>
      <c r="N83" s="204">
        <f>E83-серпень!E83</f>
        <v>8.169999999999998</v>
      </c>
      <c r="O83" s="208">
        <f>F83-серпень!F83</f>
        <v>0</v>
      </c>
      <c r="P83" s="207">
        <f t="shared" si="22"/>
        <v>-8.169999999999998</v>
      </c>
      <c r="Q83" s="207">
        <f>O83/N83</f>
        <v>0</v>
      </c>
      <c r="R83" s="43"/>
      <c r="S83" s="103"/>
      <c r="T83" s="186">
        <f t="shared" si="23"/>
        <v>14.030000000000001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17753.03</v>
      </c>
      <c r="F85" s="232">
        <f>F71+F83+F77+F82+F84</f>
        <v>26865.870000000003</v>
      </c>
      <c r="G85" s="233">
        <f>F85-E85</f>
        <v>9112.840000000004</v>
      </c>
      <c r="H85" s="234">
        <f>F85/E85*100</f>
        <v>151.33118121244658</v>
      </c>
      <c r="I85" s="235">
        <f>F85-D85</f>
        <v>-349.1299999999974</v>
      </c>
      <c r="J85" s="235">
        <f>F85/D85*100</f>
        <v>98.71714128238105</v>
      </c>
      <c r="K85" s="235">
        <v>6418.88</v>
      </c>
      <c r="L85" s="235">
        <f>F85-K85</f>
        <v>20446.99</v>
      </c>
      <c r="M85" s="269">
        <f>F85/K85</f>
        <v>4.185445124383071</v>
      </c>
      <c r="N85" s="232">
        <f>N71+N83+N77+N82</f>
        <v>1626.5699999999997</v>
      </c>
      <c r="O85" s="232">
        <f>O71+O83+O77+O82+O84</f>
        <v>1216.8800000000017</v>
      </c>
      <c r="P85" s="235">
        <f t="shared" si="22"/>
        <v>-409.689999999998</v>
      </c>
      <c r="Q85" s="235">
        <f>O85/N85*100</f>
        <v>74.81264255457816</v>
      </c>
      <c r="R85" s="28">
        <f>O85-8104.96</f>
        <v>-6888.079999999998</v>
      </c>
      <c r="S85" s="101">
        <f>O85/8104.96</f>
        <v>0.15014016108654474</v>
      </c>
      <c r="T85" s="186">
        <f t="shared" si="23"/>
        <v>9461.970000000001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768748.17</v>
      </c>
      <c r="F86" s="232">
        <f>F64+F85</f>
        <v>757293.9900000001</v>
      </c>
      <c r="G86" s="233">
        <f>F86-E86</f>
        <v>-11454.179999999935</v>
      </c>
      <c r="H86" s="234">
        <f>F86/E86*100</f>
        <v>98.51002181897877</v>
      </c>
      <c r="I86" s="235">
        <f>F86-D86</f>
        <v>-288865.74</v>
      </c>
      <c r="J86" s="235">
        <f>F86/D86*100</f>
        <v>72.38798897372966</v>
      </c>
      <c r="K86" s="235">
        <f>K64+K85</f>
        <v>515557.51</v>
      </c>
      <c r="L86" s="235">
        <f>F86-K86</f>
        <v>241736.4800000001</v>
      </c>
      <c r="M86" s="269">
        <f>F86/K86</f>
        <v>1.468883636279491</v>
      </c>
      <c r="N86" s="233">
        <f>N64+N85</f>
        <v>80185.70000000001</v>
      </c>
      <c r="O86" s="233">
        <f>O64+O85</f>
        <v>55121.34000000001</v>
      </c>
      <c r="P86" s="235">
        <f t="shared" si="22"/>
        <v>-25064.36</v>
      </c>
      <c r="Q86" s="235">
        <f>O86/N86*100</f>
        <v>68.74210738323666</v>
      </c>
      <c r="R86" s="28">
        <f>O86-42872.96</f>
        <v>12248.380000000012</v>
      </c>
      <c r="S86" s="101">
        <f>O86/42872.96</f>
        <v>1.2856900946424044</v>
      </c>
      <c r="T86" s="186">
        <f t="shared" si="23"/>
        <v>277411.56000000006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4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6163.6675</v>
      </c>
      <c r="D89" s="4" t="s">
        <v>24</v>
      </c>
      <c r="G89" s="438"/>
      <c r="H89" s="438"/>
      <c r="I89" s="438"/>
      <c r="J89" s="438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42639</v>
      </c>
      <c r="D90" s="31">
        <v>3417</v>
      </c>
      <c r="G90" s="4" t="s">
        <v>59</v>
      </c>
      <c r="O90" s="439"/>
      <c r="P90" s="439"/>
      <c r="T90" s="186">
        <f t="shared" si="23"/>
        <v>3417</v>
      </c>
    </row>
    <row r="91" spans="3:16" ht="15">
      <c r="C91" s="87">
        <v>42636</v>
      </c>
      <c r="D91" s="31">
        <v>3547.4</v>
      </c>
      <c r="F91" s="124" t="s">
        <v>59</v>
      </c>
      <c r="G91" s="440"/>
      <c r="H91" s="440"/>
      <c r="I91" s="131"/>
      <c r="J91" s="441"/>
      <c r="K91" s="441"/>
      <c r="L91" s="441"/>
      <c r="M91" s="441"/>
      <c r="N91" s="441"/>
      <c r="O91" s="439"/>
      <c r="P91" s="439"/>
    </row>
    <row r="92" spans="3:16" ht="15.75" customHeight="1">
      <c r="C92" s="87">
        <v>42635</v>
      </c>
      <c r="D92" s="31">
        <v>3619.2</v>
      </c>
      <c r="F92" s="73"/>
      <c r="G92" s="440"/>
      <c r="H92" s="440"/>
      <c r="I92" s="131"/>
      <c r="J92" s="442"/>
      <c r="K92" s="442"/>
      <c r="L92" s="442"/>
      <c r="M92" s="442"/>
      <c r="N92" s="442"/>
      <c r="O92" s="439"/>
      <c r="P92" s="439"/>
    </row>
    <row r="93" spans="3:14" ht="15.75" customHeight="1">
      <c r="C93" s="87"/>
      <c r="F93" s="73"/>
      <c r="G93" s="446"/>
      <c r="H93" s="446"/>
      <c r="I93" s="139"/>
      <c r="J93" s="441"/>
      <c r="K93" s="441"/>
      <c r="L93" s="441"/>
      <c r="M93" s="441"/>
      <c r="N93" s="441"/>
    </row>
    <row r="94" spans="2:14" ht="18.75" customHeight="1">
      <c r="B94" s="447" t="s">
        <v>57</v>
      </c>
      <c r="C94" s="448"/>
      <c r="D94" s="148">
        <v>6</v>
      </c>
      <c r="E94" s="74"/>
      <c r="F94" s="140" t="s">
        <v>137</v>
      </c>
      <c r="G94" s="440"/>
      <c r="H94" s="440"/>
      <c r="I94" s="141"/>
      <c r="J94" s="441"/>
      <c r="K94" s="441"/>
      <c r="L94" s="441"/>
      <c r="M94" s="441"/>
      <c r="N94" s="441"/>
    </row>
    <row r="95" spans="6:13" ht="9.75" customHeight="1">
      <c r="F95" s="73"/>
      <c r="G95" s="440"/>
      <c r="H95" s="440"/>
      <c r="I95" s="73"/>
      <c r="J95" s="74"/>
      <c r="K95" s="74"/>
      <c r="L95" s="74"/>
      <c r="M95" s="74"/>
    </row>
    <row r="96" spans="2:13" ht="22.5" customHeight="1" hidden="1">
      <c r="B96" s="443" t="s">
        <v>60</v>
      </c>
      <c r="C96" s="444"/>
      <c r="D96" s="86">
        <v>0</v>
      </c>
      <c r="E96" s="56" t="s">
        <v>24</v>
      </c>
      <c r="F96" s="73"/>
      <c r="G96" s="440"/>
      <c r="H96" s="440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946</v>
      </c>
      <c r="F97" s="247">
        <f>F45+F48+F49</f>
        <v>622.75</v>
      </c>
      <c r="G97" s="73">
        <f>G45+G48+G49</f>
        <v>-323.25000000000006</v>
      </c>
      <c r="H97" s="74"/>
      <c r="I97" s="74"/>
      <c r="N97" s="31">
        <f>N45+N48+N49</f>
        <v>12</v>
      </c>
      <c r="O97" s="246">
        <f>O45+O48+O49</f>
        <v>110.93999999999998</v>
      </c>
      <c r="P97" s="31">
        <f>P45+P48+P49</f>
        <v>98.93999999999998</v>
      </c>
    </row>
    <row r="98" spans="4:16" ht="15">
      <c r="D98" s="83"/>
      <c r="I98" s="31"/>
      <c r="O98" s="445"/>
      <c r="P98" s="445"/>
    </row>
    <row r="99" spans="15:16" ht="15">
      <c r="O99" s="440"/>
      <c r="P99" s="440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" bottom="0" header="0" footer="0"/>
  <pageSetup fitToHeight="2" fitToWidth="1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2" t="s">
        <v>114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92"/>
      <c r="R1" s="93"/>
    </row>
    <row r="2" spans="2:18" s="1" customFormat="1" ht="15.75" customHeight="1">
      <c r="B2" s="452"/>
      <c r="C2" s="452"/>
      <c r="D2" s="452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14"/>
      <c r="B3" s="416" t="s">
        <v>136</v>
      </c>
      <c r="C3" s="417" t="s">
        <v>0</v>
      </c>
      <c r="D3" s="418" t="s">
        <v>115</v>
      </c>
      <c r="E3" s="34"/>
      <c r="F3" s="419" t="s">
        <v>26</v>
      </c>
      <c r="G3" s="420"/>
      <c r="H3" s="420"/>
      <c r="I3" s="420"/>
      <c r="J3" s="421"/>
      <c r="K3" s="89"/>
      <c r="L3" s="89"/>
      <c r="M3" s="455" t="s">
        <v>107</v>
      </c>
      <c r="N3" s="425" t="s">
        <v>66</v>
      </c>
      <c r="O3" s="425"/>
      <c r="P3" s="425"/>
      <c r="Q3" s="425"/>
      <c r="R3" s="425"/>
    </row>
    <row r="4" spans="1:18" ht="22.5" customHeight="1">
      <c r="A4" s="414"/>
      <c r="B4" s="416"/>
      <c r="C4" s="417"/>
      <c r="D4" s="418"/>
      <c r="E4" s="426" t="s">
        <v>104</v>
      </c>
      <c r="F4" s="458" t="s">
        <v>34</v>
      </c>
      <c r="G4" s="430" t="s">
        <v>109</v>
      </c>
      <c r="H4" s="423" t="s">
        <v>110</v>
      </c>
      <c r="I4" s="430" t="s">
        <v>105</v>
      </c>
      <c r="J4" s="423" t="s">
        <v>106</v>
      </c>
      <c r="K4" s="91" t="s">
        <v>65</v>
      </c>
      <c r="L4" s="96" t="s">
        <v>64</v>
      </c>
      <c r="M4" s="423"/>
      <c r="N4" s="456" t="s">
        <v>103</v>
      </c>
      <c r="O4" s="430" t="s">
        <v>50</v>
      </c>
      <c r="P4" s="434" t="s">
        <v>49</v>
      </c>
      <c r="Q4" s="97" t="s">
        <v>65</v>
      </c>
      <c r="R4" s="98" t="s">
        <v>64</v>
      </c>
    </row>
    <row r="5" spans="1:18" ht="76.5" customHeight="1">
      <c r="A5" s="415"/>
      <c r="B5" s="416"/>
      <c r="C5" s="417"/>
      <c r="D5" s="418"/>
      <c r="E5" s="427"/>
      <c r="F5" s="459"/>
      <c r="G5" s="431"/>
      <c r="H5" s="424"/>
      <c r="I5" s="431"/>
      <c r="J5" s="424"/>
      <c r="K5" s="435" t="s">
        <v>108</v>
      </c>
      <c r="L5" s="437"/>
      <c r="M5" s="424"/>
      <c r="N5" s="457"/>
      <c r="O5" s="431"/>
      <c r="P5" s="434"/>
      <c r="Q5" s="435" t="s">
        <v>126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38"/>
      <c r="H82" s="438"/>
      <c r="I82" s="438"/>
      <c r="J82" s="438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39"/>
      <c r="O83" s="439"/>
    </row>
    <row r="84" spans="3:15" ht="15">
      <c r="C84" s="87">
        <v>42397</v>
      </c>
      <c r="D84" s="31">
        <v>8685</v>
      </c>
      <c r="F84" s="166" t="s">
        <v>59</v>
      </c>
      <c r="G84" s="440"/>
      <c r="H84" s="440"/>
      <c r="I84" s="131"/>
      <c r="J84" s="441"/>
      <c r="K84" s="441"/>
      <c r="L84" s="441"/>
      <c r="M84" s="441"/>
      <c r="N84" s="439"/>
      <c r="O84" s="439"/>
    </row>
    <row r="85" spans="3:15" ht="15.75" customHeight="1">
      <c r="C85" s="87">
        <v>42396</v>
      </c>
      <c r="D85" s="31">
        <v>4820.3</v>
      </c>
      <c r="F85" s="167"/>
      <c r="G85" s="440"/>
      <c r="H85" s="440"/>
      <c r="I85" s="131"/>
      <c r="J85" s="442"/>
      <c r="K85" s="442"/>
      <c r="L85" s="442"/>
      <c r="M85" s="442"/>
      <c r="N85" s="439"/>
      <c r="O85" s="439"/>
    </row>
    <row r="86" spans="3:13" ht="15.75" customHeight="1">
      <c r="C86" s="87"/>
      <c r="F86" s="167"/>
      <c r="G86" s="446"/>
      <c r="H86" s="446"/>
      <c r="I86" s="139"/>
      <c r="J86" s="441"/>
      <c r="K86" s="441"/>
      <c r="L86" s="441"/>
      <c r="M86" s="441"/>
    </row>
    <row r="87" spans="2:13" ht="18.75" customHeight="1">
      <c r="B87" s="447" t="s">
        <v>57</v>
      </c>
      <c r="C87" s="448"/>
      <c r="D87" s="148">
        <v>300.92</v>
      </c>
      <c r="E87" s="74"/>
      <c r="F87" s="168"/>
      <c r="G87" s="440"/>
      <c r="H87" s="440"/>
      <c r="I87" s="141"/>
      <c r="J87" s="441"/>
      <c r="K87" s="441"/>
      <c r="L87" s="441"/>
      <c r="M87" s="441"/>
    </row>
    <row r="88" spans="6:12" ht="9.75" customHeight="1">
      <c r="F88" s="167"/>
      <c r="G88" s="440"/>
      <c r="H88" s="440"/>
      <c r="I88" s="73"/>
      <c r="J88" s="74"/>
      <c r="K88" s="74"/>
      <c r="L88" s="74"/>
    </row>
    <row r="89" spans="2:12" ht="22.5" customHeight="1" hidden="1">
      <c r="B89" s="443" t="s">
        <v>60</v>
      </c>
      <c r="C89" s="444"/>
      <c r="D89" s="86">
        <v>0</v>
      </c>
      <c r="E89" s="56" t="s">
        <v>24</v>
      </c>
      <c r="F89" s="167"/>
      <c r="G89" s="440"/>
      <c r="H89" s="440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40"/>
      <c r="O90" s="440"/>
    </row>
    <row r="91" spans="4:15" ht="15">
      <c r="D91" s="83"/>
      <c r="I91" s="31"/>
      <c r="N91" s="445"/>
      <c r="O91" s="445"/>
    </row>
    <row r="92" spans="14:15" ht="15">
      <c r="N92" s="440"/>
      <c r="O92" s="440"/>
    </row>
    <row r="96" ht="15">
      <c r="E96" s="4" t="s">
        <v>59</v>
      </c>
    </row>
  </sheetData>
  <sheetProtection/>
  <mergeCells count="39">
    <mergeCell ref="G88:H88"/>
    <mergeCell ref="N92:O92"/>
    <mergeCell ref="B89:C89"/>
    <mergeCell ref="G89:H89"/>
    <mergeCell ref="N90:O90"/>
    <mergeCell ref="N91:O91"/>
    <mergeCell ref="G85:H85"/>
    <mergeCell ref="J85:M85"/>
    <mergeCell ref="N85:O85"/>
    <mergeCell ref="G86:H86"/>
    <mergeCell ref="J86:M86"/>
    <mergeCell ref="B87:C87"/>
    <mergeCell ref="G87:H87"/>
    <mergeCell ref="J87:M87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F4:F5"/>
    <mergeCell ref="G4:G5"/>
    <mergeCell ref="H4:H5"/>
    <mergeCell ref="I4:I5"/>
    <mergeCell ref="Q5:R5"/>
    <mergeCell ref="P4:P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">
      <pane xSplit="2" ySplit="8" topLeftCell="E2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6" sqref="G3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2" t="s">
        <v>196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92"/>
      <c r="S1" s="93"/>
    </row>
    <row r="2" spans="2:19" s="1" customFormat="1" ht="15.75" customHeight="1">
      <c r="B2" s="413"/>
      <c r="C2" s="413"/>
      <c r="D2" s="413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89"/>
      <c r="N3" s="422" t="s">
        <v>193</v>
      </c>
      <c r="O3" s="425" t="s">
        <v>194</v>
      </c>
      <c r="P3" s="425"/>
      <c r="Q3" s="425"/>
      <c r="R3" s="425"/>
      <c r="S3" s="425"/>
    </row>
    <row r="4" spans="1:19" ht="22.5" customHeight="1">
      <c r="A4" s="414"/>
      <c r="B4" s="416"/>
      <c r="C4" s="417"/>
      <c r="D4" s="418"/>
      <c r="E4" s="426" t="s">
        <v>190</v>
      </c>
      <c r="F4" s="428" t="s">
        <v>34</v>
      </c>
      <c r="G4" s="430" t="s">
        <v>191</v>
      </c>
      <c r="H4" s="423" t="s">
        <v>192</v>
      </c>
      <c r="I4" s="430" t="s">
        <v>122</v>
      </c>
      <c r="J4" s="423" t="s">
        <v>123</v>
      </c>
      <c r="K4" s="91" t="s">
        <v>186</v>
      </c>
      <c r="L4" s="249" t="s">
        <v>185</v>
      </c>
      <c r="M4" s="96" t="s">
        <v>64</v>
      </c>
      <c r="N4" s="423"/>
      <c r="O4" s="432" t="s">
        <v>197</v>
      </c>
      <c r="P4" s="430" t="s">
        <v>50</v>
      </c>
      <c r="Q4" s="434" t="s">
        <v>49</v>
      </c>
      <c r="R4" s="97" t="s">
        <v>65</v>
      </c>
      <c r="S4" s="98" t="s">
        <v>64</v>
      </c>
    </row>
    <row r="5" spans="1:19" ht="67.5" customHeight="1">
      <c r="A5" s="415"/>
      <c r="B5" s="416"/>
      <c r="C5" s="417"/>
      <c r="D5" s="418"/>
      <c r="E5" s="427"/>
      <c r="F5" s="429"/>
      <c r="G5" s="431"/>
      <c r="H5" s="424"/>
      <c r="I5" s="431"/>
      <c r="J5" s="424"/>
      <c r="K5" s="435" t="s">
        <v>195</v>
      </c>
      <c r="L5" s="436"/>
      <c r="M5" s="437"/>
      <c r="N5" s="424"/>
      <c r="O5" s="433"/>
      <c r="P5" s="431"/>
      <c r="Q5" s="434"/>
      <c r="R5" s="435" t="s">
        <v>120</v>
      </c>
      <c r="S5" s="437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629357.98</v>
      </c>
      <c r="F8" s="191">
        <f>F9+F15+F18+F19+F20+F37+F17</f>
        <v>633520.83</v>
      </c>
      <c r="G8" s="191">
        <f aca="true" t="shared" si="0" ref="G8:G37">F8-E8</f>
        <v>4162.849999999977</v>
      </c>
      <c r="H8" s="192">
        <f>F8/E8*100</f>
        <v>100.6614439051047</v>
      </c>
      <c r="I8" s="193">
        <f>F8-D8</f>
        <v>-300550.6200000001</v>
      </c>
      <c r="J8" s="193">
        <f>F8/D8*100</f>
        <v>67.82359422290446</v>
      </c>
      <c r="K8" s="191">
        <v>429512.12</v>
      </c>
      <c r="L8" s="191">
        <f aca="true" t="shared" si="1" ref="L8:L51">F8-K8</f>
        <v>204008.70999999996</v>
      </c>
      <c r="M8" s="250">
        <f aca="true" t="shared" si="2" ref="M8:M28">F8/K8</f>
        <v>1.4749777724549424</v>
      </c>
      <c r="N8" s="191">
        <f>N9+N15+N18+N19+N20+N17</f>
        <v>130406.69999999995</v>
      </c>
      <c r="O8" s="191">
        <f>O9+O15+O18+O19+O20+O17</f>
        <v>89713.86999999997</v>
      </c>
      <c r="P8" s="191">
        <f>O8-N8</f>
        <v>-40692.82999999999</v>
      </c>
      <c r="Q8" s="19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328493.67+2000+1800</f>
        <v>332293.67</v>
      </c>
      <c r="F9" s="196">
        <v>339918.36</v>
      </c>
      <c r="G9" s="190">
        <f t="shared" si="0"/>
        <v>7624.690000000002</v>
      </c>
      <c r="H9" s="197">
        <f>F9/E9*100</f>
        <v>102.2945637213011</v>
      </c>
      <c r="I9" s="198">
        <f>F9-D9</f>
        <v>-190670.64</v>
      </c>
      <c r="J9" s="198">
        <f>F9/D9*100</f>
        <v>64.06434358797488</v>
      </c>
      <c r="K9" s="199">
        <v>233711.01</v>
      </c>
      <c r="L9" s="199">
        <f t="shared" si="1"/>
        <v>106207.34999999998</v>
      </c>
      <c r="M9" s="251">
        <f t="shared" si="2"/>
        <v>1.4544387960156433</v>
      </c>
      <c r="N9" s="197">
        <f>E9-липень!E9</f>
        <v>69034.39999999997</v>
      </c>
      <c r="O9" s="200">
        <f>F9-липень!F9</f>
        <v>44508.649999999965</v>
      </c>
      <c r="P9" s="201">
        <f>O9-N9</f>
        <v>-24525.75</v>
      </c>
      <c r="Q9" s="198">
        <f>O9/N9*100</f>
        <v>64.473146721055</v>
      </c>
      <c r="R9" s="106"/>
      <c r="S9" s="107"/>
      <c r="T9" s="186">
        <f>D9-E9</f>
        <v>198295.33000000002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298673.41</v>
      </c>
      <c r="G10" s="109">
        <f t="shared" si="0"/>
        <v>3303.1699999999837</v>
      </c>
      <c r="H10" s="32">
        <f aca="true" t="shared" si="3" ref="H10:H36">F10/E10*100</f>
        <v>101.11831510175162</v>
      </c>
      <c r="I10" s="110">
        <f aca="true" t="shared" si="4" ref="I10:I37">F10-D10</f>
        <v>-186535.59000000003</v>
      </c>
      <c r="J10" s="110">
        <f aca="true" t="shared" si="5" ref="J10:J36">F10/D10*100</f>
        <v>61.55562036153492</v>
      </c>
      <c r="K10" s="112">
        <v>206618.21</v>
      </c>
      <c r="L10" s="112">
        <f t="shared" si="1"/>
        <v>92055.19999999998</v>
      </c>
      <c r="M10" s="252">
        <f t="shared" si="2"/>
        <v>1.4455328501781135</v>
      </c>
      <c r="N10" s="111">
        <f>E10-липень!E10</f>
        <v>61354.399999999994</v>
      </c>
      <c r="O10" s="179">
        <f>F10-липень!F10</f>
        <v>39567.50999999998</v>
      </c>
      <c r="P10" s="112">
        <f aca="true" t="shared" si="6" ref="P10:P37">O10-N10</f>
        <v>-21786.890000000014</v>
      </c>
      <c r="Q10" s="198">
        <f aca="true" t="shared" si="7" ref="Q10:Q16">O10/N10*100</f>
        <v>64.49009362001745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19714.94</v>
      </c>
      <c r="F11" s="171">
        <v>24998.93</v>
      </c>
      <c r="G11" s="109">
        <f t="shared" si="0"/>
        <v>5283.990000000002</v>
      </c>
      <c r="H11" s="32">
        <f t="shared" si="3"/>
        <v>126.80195831181835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E11-липень!E11</f>
        <v>3799.999999999998</v>
      </c>
      <c r="O11" s="179">
        <f>F11-липень!F11</f>
        <v>3412.9000000000015</v>
      </c>
      <c r="P11" s="112">
        <f t="shared" si="6"/>
        <v>-387.0999999999967</v>
      </c>
      <c r="Q11" s="198">
        <f t="shared" si="7"/>
        <v>89.81315789473693</v>
      </c>
      <c r="R11" s="42"/>
      <c r="S11" s="100"/>
      <c r="T11" s="186">
        <f t="shared" si="8"/>
        <v>3285.0600000000013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5400.61</v>
      </c>
      <c r="F12" s="171">
        <v>6686.39</v>
      </c>
      <c r="G12" s="109">
        <f t="shared" si="0"/>
        <v>1285.7800000000007</v>
      </c>
      <c r="H12" s="32">
        <f t="shared" si="3"/>
        <v>123.8080513127221</v>
      </c>
      <c r="I12" s="110">
        <f t="shared" si="4"/>
        <v>186.39000000000033</v>
      </c>
      <c r="J12" s="110">
        <f t="shared" si="5"/>
        <v>102.86753846153846</v>
      </c>
      <c r="K12" s="112">
        <v>3331.36</v>
      </c>
      <c r="L12" s="112">
        <f t="shared" si="1"/>
        <v>3355.03</v>
      </c>
      <c r="M12" s="252">
        <f t="shared" si="2"/>
        <v>2.007105206282119</v>
      </c>
      <c r="N12" s="111">
        <f>E12-липень!E12</f>
        <v>2129.9999999999995</v>
      </c>
      <c r="O12" s="179">
        <f>F12-липень!F12</f>
        <v>848.9500000000007</v>
      </c>
      <c r="P12" s="112">
        <f t="shared" si="6"/>
        <v>-1281.0499999999988</v>
      </c>
      <c r="Q12" s="198">
        <f t="shared" si="7"/>
        <v>39.85680751173713</v>
      </c>
      <c r="R12" s="42"/>
      <c r="S12" s="100"/>
      <c r="T12" s="186">
        <f t="shared" si="8"/>
        <v>1099.3900000000003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7017.25</v>
      </c>
      <c r="G13" s="109">
        <f t="shared" si="0"/>
        <v>-1347.5900000000001</v>
      </c>
      <c r="H13" s="32">
        <f t="shared" si="3"/>
        <v>83.88982933325681</v>
      </c>
      <c r="I13" s="110">
        <f t="shared" si="4"/>
        <v>-5382.75</v>
      </c>
      <c r="J13" s="110">
        <f t="shared" si="5"/>
        <v>56.590725806451616</v>
      </c>
      <c r="K13" s="112">
        <v>4976.73</v>
      </c>
      <c r="L13" s="112">
        <f t="shared" si="1"/>
        <v>2040.5200000000004</v>
      </c>
      <c r="M13" s="252">
        <f t="shared" si="2"/>
        <v>1.4100121967637385</v>
      </c>
      <c r="N13" s="111">
        <f>E13-липень!E13</f>
        <v>1600</v>
      </c>
      <c r="O13" s="179">
        <f>F13-липень!F13</f>
        <v>587.79</v>
      </c>
      <c r="P13" s="112">
        <f t="shared" si="6"/>
        <v>-1012.21</v>
      </c>
      <c r="Q13" s="198">
        <f t="shared" si="7"/>
        <v>36.736875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2542.38</v>
      </c>
      <c r="G14" s="109">
        <f t="shared" si="0"/>
        <v>-900.6599999999999</v>
      </c>
      <c r="H14" s="32">
        <f t="shared" si="3"/>
        <v>73.84114038756448</v>
      </c>
      <c r="I14" s="110">
        <f t="shared" si="4"/>
        <v>-937.6199999999999</v>
      </c>
      <c r="J14" s="110">
        <f t="shared" si="5"/>
        <v>73.05689655172414</v>
      </c>
      <c r="K14" s="112">
        <v>6376.14</v>
      </c>
      <c r="L14" s="112">
        <f t="shared" si="1"/>
        <v>-3833.76</v>
      </c>
      <c r="M14" s="252">
        <f t="shared" si="2"/>
        <v>0.39873340296793985</v>
      </c>
      <c r="N14" s="111">
        <f>E14-липень!E14</f>
        <v>150</v>
      </c>
      <c r="O14" s="179">
        <f>F14-липень!F14</f>
        <v>91.5</v>
      </c>
      <c r="P14" s="112">
        <f t="shared" si="6"/>
        <v>-58.5</v>
      </c>
      <c r="Q14" s="198">
        <f t="shared" si="7"/>
        <v>61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385.26</v>
      </c>
      <c r="G15" s="190">
        <f t="shared" si="0"/>
        <v>20.25999999999999</v>
      </c>
      <c r="H15" s="197">
        <f>F15/E15*100</f>
        <v>105.55068493150685</v>
      </c>
      <c r="I15" s="198">
        <f t="shared" si="4"/>
        <v>-114.74000000000001</v>
      </c>
      <c r="J15" s="198">
        <f t="shared" si="5"/>
        <v>77.05199999999999</v>
      </c>
      <c r="K15" s="201">
        <v>-734.58</v>
      </c>
      <c r="L15" s="201">
        <f t="shared" si="1"/>
        <v>1119.8400000000001</v>
      </c>
      <c r="M15" s="253">
        <f t="shared" si="2"/>
        <v>-0.5244629584252225</v>
      </c>
      <c r="N15" s="197">
        <f>E15-липень!E15</f>
        <v>115</v>
      </c>
      <c r="O15" s="200">
        <f>F15-липень!F15</f>
        <v>76.01999999999998</v>
      </c>
      <c r="P15" s="201">
        <f t="shared" si="6"/>
        <v>-38.98000000000002</v>
      </c>
      <c r="Q15" s="198">
        <f t="shared" si="7"/>
        <v>66.10434782608694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64436.28</v>
      </c>
      <c r="G19" s="190">
        <f t="shared" si="0"/>
        <v>-4824.119999999995</v>
      </c>
      <c r="H19" s="197">
        <f t="shared" si="3"/>
        <v>93.03480776894156</v>
      </c>
      <c r="I19" s="198">
        <f t="shared" si="4"/>
        <v>-45463.72</v>
      </c>
      <c r="J19" s="198">
        <f t="shared" si="5"/>
        <v>58.63173794358507</v>
      </c>
      <c r="K19" s="209">
        <v>43877.66</v>
      </c>
      <c r="L19" s="201">
        <f t="shared" si="1"/>
        <v>20558.619999999995</v>
      </c>
      <c r="M19" s="259">
        <f t="shared" si="2"/>
        <v>1.468544129290395</v>
      </c>
      <c r="N19" s="197">
        <f>E19-липень!E19</f>
        <v>10499.999999999993</v>
      </c>
      <c r="O19" s="200">
        <f>F19-липень!F19</f>
        <v>10145.080000000002</v>
      </c>
      <c r="P19" s="201">
        <f t="shared" si="6"/>
        <v>-354.919999999991</v>
      </c>
      <c r="Q19" s="198">
        <f aca="true" t="shared" si="9" ref="Q19:Q24">O19/N19*100</f>
        <v>96.61980952380961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227333.11</v>
      </c>
      <c r="F20" s="272">
        <f>F21+F29+F30+F31+F32</f>
        <v>228674.96</v>
      </c>
      <c r="G20" s="190">
        <f t="shared" si="0"/>
        <v>1341.8500000000058</v>
      </c>
      <c r="H20" s="197">
        <f t="shared" si="3"/>
        <v>100.5902571781119</v>
      </c>
      <c r="I20" s="198">
        <f t="shared" si="4"/>
        <v>-64301.69000000003</v>
      </c>
      <c r="J20" s="198">
        <f t="shared" si="5"/>
        <v>78.05228164087478</v>
      </c>
      <c r="K20" s="198">
        <v>147068.17</v>
      </c>
      <c r="L20" s="201">
        <f t="shared" si="1"/>
        <v>81606.78999999998</v>
      </c>
      <c r="M20" s="254">
        <f t="shared" si="2"/>
        <v>1.554890905353619</v>
      </c>
      <c r="N20" s="197">
        <f>N21+N30+N31+N32</f>
        <v>50661.5</v>
      </c>
      <c r="O20" s="200">
        <f>F20-липень!F20</f>
        <v>34984.119999999995</v>
      </c>
      <c r="P20" s="201">
        <f t="shared" si="6"/>
        <v>-15677.380000000005</v>
      </c>
      <c r="Q20" s="198">
        <f t="shared" si="9"/>
        <v>69.05464701992636</v>
      </c>
      <c r="R20" s="113"/>
      <c r="S20" s="114"/>
      <c r="T20" s="186">
        <f t="shared" si="8"/>
        <v>65643.54000000004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120768.95999999999</v>
      </c>
      <c r="F21" s="211">
        <f>F22+F25+F26</f>
        <v>121679.97</v>
      </c>
      <c r="G21" s="190">
        <f t="shared" si="0"/>
        <v>911.0100000000093</v>
      </c>
      <c r="H21" s="197">
        <f t="shared" si="3"/>
        <v>100.75434118170763</v>
      </c>
      <c r="I21" s="198">
        <f t="shared" si="4"/>
        <v>-53219.67999999999</v>
      </c>
      <c r="J21" s="198">
        <f t="shared" si="5"/>
        <v>69.57130560295576</v>
      </c>
      <c r="K21" s="198">
        <v>79798.88</v>
      </c>
      <c r="L21" s="201">
        <f t="shared" si="1"/>
        <v>41881.09</v>
      </c>
      <c r="M21" s="254">
        <f t="shared" si="2"/>
        <v>1.5248330553010268</v>
      </c>
      <c r="N21" s="197">
        <f>N22+N25+N26</f>
        <v>24280.3</v>
      </c>
      <c r="O21" s="200">
        <f>F21-червень!F21</f>
        <v>35685.58</v>
      </c>
      <c r="P21" s="201">
        <f t="shared" si="6"/>
        <v>11405.280000000002</v>
      </c>
      <c r="Q21" s="198">
        <f t="shared" si="9"/>
        <v>146.9733899498771</v>
      </c>
      <c r="R21" s="113"/>
      <c r="S21" s="114"/>
      <c r="T21" s="186">
        <f t="shared" si="8"/>
        <v>54130.69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14873.47</v>
      </c>
      <c r="G22" s="212">
        <f t="shared" si="0"/>
        <v>296.5699999999997</v>
      </c>
      <c r="H22" s="214">
        <f t="shared" si="3"/>
        <v>102.03452037127236</v>
      </c>
      <c r="I22" s="215">
        <f t="shared" si="4"/>
        <v>-3626.5300000000007</v>
      </c>
      <c r="J22" s="215">
        <f t="shared" si="5"/>
        <v>80.39713513513513</v>
      </c>
      <c r="K22" s="216">
        <v>8673.74</v>
      </c>
      <c r="L22" s="206">
        <f t="shared" si="1"/>
        <v>6199.73</v>
      </c>
      <c r="M22" s="262">
        <f t="shared" si="2"/>
        <v>1.7147700991729058</v>
      </c>
      <c r="N22" s="214">
        <f>E22-липень!E22</f>
        <v>1985.2999999999993</v>
      </c>
      <c r="O22" s="217">
        <f>F22-липень!F22</f>
        <v>1003.3299999999999</v>
      </c>
      <c r="P22" s="218">
        <f t="shared" si="6"/>
        <v>-981.9699999999993</v>
      </c>
      <c r="Q22" s="215">
        <f t="shared" si="9"/>
        <v>50.53795396161791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623.64</v>
      </c>
      <c r="G23" s="241">
        <f t="shared" si="0"/>
        <v>-250.76</v>
      </c>
      <c r="H23" s="242">
        <f t="shared" si="3"/>
        <v>71.3220494053065</v>
      </c>
      <c r="I23" s="243">
        <f t="shared" si="4"/>
        <v>-1376.3600000000001</v>
      </c>
      <c r="J23" s="243">
        <f t="shared" si="5"/>
        <v>31.182</v>
      </c>
      <c r="K23" s="261">
        <v>526.9</v>
      </c>
      <c r="L23" s="261">
        <f t="shared" si="1"/>
        <v>96.74000000000001</v>
      </c>
      <c r="M23" s="263">
        <f t="shared" si="2"/>
        <v>1.1836022015562726</v>
      </c>
      <c r="N23" s="239">
        <f>E23-липень!E23</f>
        <v>185.29999999999995</v>
      </c>
      <c r="O23" s="239">
        <f>F23-липень!F23</f>
        <v>85.80999999999995</v>
      </c>
      <c r="P23" s="240">
        <f t="shared" si="6"/>
        <v>-99.49000000000001</v>
      </c>
      <c r="Q23" s="240">
        <f t="shared" si="9"/>
        <v>46.308688613059886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14249.83</v>
      </c>
      <c r="G24" s="241">
        <f t="shared" si="0"/>
        <v>547.3299999999999</v>
      </c>
      <c r="H24" s="242">
        <f t="shared" si="3"/>
        <v>103.99438058748403</v>
      </c>
      <c r="I24" s="243">
        <f t="shared" si="4"/>
        <v>-2250.17</v>
      </c>
      <c r="J24" s="243">
        <f t="shared" si="5"/>
        <v>86.36260606060605</v>
      </c>
      <c r="K24" s="261">
        <v>8146.84</v>
      </c>
      <c r="L24" s="261">
        <f t="shared" si="1"/>
        <v>6102.99</v>
      </c>
      <c r="M24" s="263">
        <f t="shared" si="2"/>
        <v>1.7491235865685346</v>
      </c>
      <c r="N24" s="239">
        <f>E24-липень!E24</f>
        <v>1800</v>
      </c>
      <c r="O24" s="239">
        <f>F24-липень!F24</f>
        <v>917.5200000000004</v>
      </c>
      <c r="P24" s="240">
        <f t="shared" si="6"/>
        <v>-882.4799999999996</v>
      </c>
      <c r="Q24" s="240">
        <f t="shared" si="9"/>
        <v>50.97333333333336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669</v>
      </c>
      <c r="G25" s="212">
        <f t="shared" si="0"/>
        <v>-224.14</v>
      </c>
      <c r="H25" s="214">
        <f t="shared" si="3"/>
        <v>74.90427032716036</v>
      </c>
      <c r="I25" s="215">
        <f t="shared" si="4"/>
        <v>-331</v>
      </c>
      <c r="J25" s="215">
        <f t="shared" si="5"/>
        <v>66.9</v>
      </c>
      <c r="K25" s="215">
        <v>3116.95</v>
      </c>
      <c r="L25" s="215">
        <f t="shared" si="1"/>
        <v>-2447.95</v>
      </c>
      <c r="M25" s="257">
        <f t="shared" si="2"/>
        <v>0.21463289433580907</v>
      </c>
      <c r="N25" s="214">
        <f>E25-липень!E25</f>
        <v>200</v>
      </c>
      <c r="O25" s="217">
        <f>F25-липень!F25</f>
        <v>190.2</v>
      </c>
      <c r="P25" s="218">
        <f t="shared" si="6"/>
        <v>-9.800000000000011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>103968.92+677+453+200</f>
        <v>105298.92</v>
      </c>
      <c r="F26" s="213">
        <v>106137.5</v>
      </c>
      <c r="G26" s="212">
        <f t="shared" si="0"/>
        <v>838.5800000000017</v>
      </c>
      <c r="H26" s="214">
        <f t="shared" si="3"/>
        <v>100.79638043771008</v>
      </c>
      <c r="I26" s="215">
        <f t="shared" si="4"/>
        <v>-49262.149999999994</v>
      </c>
      <c r="J26" s="215">
        <f t="shared" si="5"/>
        <v>68.2997033777103</v>
      </c>
      <c r="K26" s="216">
        <v>68008.19</v>
      </c>
      <c r="L26" s="216">
        <f t="shared" si="1"/>
        <v>38129.31</v>
      </c>
      <c r="M26" s="256">
        <f t="shared" si="2"/>
        <v>1.5606576207953777</v>
      </c>
      <c r="N26" s="214">
        <f>E26-липень!E26</f>
        <v>22095</v>
      </c>
      <c r="O26" s="217">
        <f>F26-липень!F26</f>
        <v>14529.710000000006</v>
      </c>
      <c r="P26" s="218">
        <f t="shared" si="6"/>
        <v>-7565.289999999994</v>
      </c>
      <c r="Q26" s="215">
        <f>O26/N26*100</f>
        <v>65.76017198461194</v>
      </c>
      <c r="R26" s="113"/>
      <c r="S26" s="114"/>
      <c r="T26" s="186">
        <f t="shared" si="8"/>
        <v>50100.729999999996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33291.75</v>
      </c>
      <c r="F27" s="203">
        <v>34037.82</v>
      </c>
      <c r="G27" s="241">
        <f t="shared" si="0"/>
        <v>746.0699999999997</v>
      </c>
      <c r="H27" s="242">
        <f t="shared" si="3"/>
        <v>102.24100565455404</v>
      </c>
      <c r="I27" s="243">
        <f t="shared" si="4"/>
        <v>-13329.18</v>
      </c>
      <c r="J27" s="243">
        <f t="shared" si="5"/>
        <v>71.8597757932738</v>
      </c>
      <c r="K27" s="261">
        <v>18442.07</v>
      </c>
      <c r="L27" s="261">
        <f t="shared" si="1"/>
        <v>15595.75</v>
      </c>
      <c r="M27" s="263">
        <f t="shared" si="2"/>
        <v>1.8456615770355498</v>
      </c>
      <c r="N27" s="239">
        <f>E27-липень!E27</f>
        <v>9447</v>
      </c>
      <c r="O27" s="239">
        <f>F27-липень!F27</f>
        <v>4752.060000000001</v>
      </c>
      <c r="P27" s="240">
        <f t="shared" si="6"/>
        <v>-4694.939999999999</v>
      </c>
      <c r="Q27" s="240">
        <f>O27/N27*100</f>
        <v>50.30231819625279</v>
      </c>
      <c r="R27" s="113"/>
      <c r="S27" s="114"/>
      <c r="T27" s="186">
        <f t="shared" si="8"/>
        <v>14075.25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72007.17</v>
      </c>
      <c r="F28" s="203">
        <v>72099.67</v>
      </c>
      <c r="G28" s="241">
        <f t="shared" si="0"/>
        <v>92.5</v>
      </c>
      <c r="H28" s="242">
        <f t="shared" si="3"/>
        <v>100.128459429804</v>
      </c>
      <c r="I28" s="243">
        <f t="shared" si="4"/>
        <v>-35932.979999999996</v>
      </c>
      <c r="J28" s="243">
        <f t="shared" si="5"/>
        <v>66.73877758251788</v>
      </c>
      <c r="K28" s="261">
        <v>49566.12</v>
      </c>
      <c r="L28" s="261">
        <f t="shared" si="1"/>
        <v>22533.549999999996</v>
      </c>
      <c r="M28" s="263">
        <f t="shared" si="2"/>
        <v>1.4546159755897778</v>
      </c>
      <c r="N28" s="239">
        <f>E28-липень!E28</f>
        <v>12648</v>
      </c>
      <c r="O28" s="239">
        <f>F28-липень!F28</f>
        <v>9777.64</v>
      </c>
      <c r="P28" s="240">
        <f t="shared" si="6"/>
        <v>-2870.3600000000006</v>
      </c>
      <c r="Q28" s="240">
        <f>O28/N28*100</f>
        <v>77.30581910183427</v>
      </c>
      <c r="R28" s="113"/>
      <c r="S28" s="114"/>
      <c r="T28" s="186">
        <f t="shared" si="8"/>
        <v>36025.479999999996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85.95</v>
      </c>
      <c r="G30" s="190">
        <f t="shared" si="0"/>
        <v>37.64</v>
      </c>
      <c r="H30" s="197">
        <f t="shared" si="3"/>
        <v>177.91347547091698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E30-липень!E30</f>
        <v>7.400000000000006</v>
      </c>
      <c r="O30" s="200">
        <f>F30-липень!F30</f>
        <v>20.33</v>
      </c>
      <c r="P30" s="201">
        <f t="shared" si="6"/>
        <v>12.929999999999993</v>
      </c>
      <c r="Q30" s="198">
        <f>O30/N30*100</f>
        <v>274.7297297297295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E31-липень!E31</f>
        <v>0</v>
      </c>
      <c r="O31" s="200">
        <f>F31-липень!F31</f>
        <v>-11.5</v>
      </c>
      <c r="P31" s="201">
        <f t="shared" si="6"/>
        <v>-11.5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f>98815.84+7700</f>
        <v>106515.84</v>
      </c>
      <c r="F32" s="203">
        <v>107059.12</v>
      </c>
      <c r="G32" s="202">
        <f t="shared" si="0"/>
        <v>543.2799999999988</v>
      </c>
      <c r="H32" s="204">
        <f t="shared" si="3"/>
        <v>100.51004620533435</v>
      </c>
      <c r="I32" s="205">
        <f t="shared" si="4"/>
        <v>-10940.880000000005</v>
      </c>
      <c r="J32" s="205">
        <f t="shared" si="5"/>
        <v>90.72806779661016</v>
      </c>
      <c r="K32" s="219">
        <v>67835.01</v>
      </c>
      <c r="L32" s="219">
        <f>F32-K32</f>
        <v>39224.11</v>
      </c>
      <c r="M32" s="411">
        <f>F32/K32</f>
        <v>1.578228115540928</v>
      </c>
      <c r="N32" s="197">
        <f>E32-липень!E32</f>
        <v>26373.800000000003</v>
      </c>
      <c r="O32" s="200">
        <f>F32-липень!F32</f>
        <v>19252.04999999999</v>
      </c>
      <c r="P32" s="207">
        <f t="shared" si="6"/>
        <v>-7121.750000000015</v>
      </c>
      <c r="Q32" s="205">
        <f>O32/N32*100</f>
        <v>72.996875687235</v>
      </c>
      <c r="R32" s="113"/>
      <c r="S32" s="114"/>
      <c r="T32" s="186">
        <f t="shared" si="8"/>
        <v>11484.160000000003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E33-липень!E33</f>
        <v>0</v>
      </c>
      <c r="O33" s="179">
        <f>F33-липень!F33</f>
        <v>0.010000000000000009</v>
      </c>
      <c r="P33" s="112">
        <f t="shared" si="6"/>
        <v>0.010000000000000009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28217</v>
      </c>
      <c r="E34" s="109">
        <v>26962.97</v>
      </c>
      <c r="F34" s="171">
        <v>27383.08</v>
      </c>
      <c r="G34" s="109">
        <f t="shared" si="0"/>
        <v>420.1100000000006</v>
      </c>
      <c r="H34" s="111">
        <f t="shared" si="3"/>
        <v>101.55809986807833</v>
      </c>
      <c r="I34" s="110">
        <f t="shared" si="4"/>
        <v>-833.9199999999983</v>
      </c>
      <c r="J34" s="110">
        <f t="shared" si="5"/>
        <v>97.0446184923982</v>
      </c>
      <c r="K34" s="142">
        <v>16931.33</v>
      </c>
      <c r="L34" s="142">
        <f t="shared" si="1"/>
        <v>10451.75</v>
      </c>
      <c r="M34" s="264">
        <f t="shared" si="10"/>
        <v>1.617302361952664</v>
      </c>
      <c r="N34" s="111">
        <f>E34-липень!E34</f>
        <v>7267</v>
      </c>
      <c r="O34" s="179">
        <f>F34-липень!F34</f>
        <v>5628.570000000003</v>
      </c>
      <c r="P34" s="112">
        <f t="shared" si="6"/>
        <v>-1638.4299999999967</v>
      </c>
      <c r="Q34" s="110">
        <f>O34/N34*100</f>
        <v>77.45383239300953</v>
      </c>
      <c r="R34" s="113"/>
      <c r="S34" s="114"/>
      <c r="T34" s="186">
        <f t="shared" si="8"/>
        <v>1254.0299999999988</v>
      </c>
    </row>
    <row r="35" spans="1:20" s="6" customFormat="1" ht="15">
      <c r="A35" s="8"/>
      <c r="B35" s="55" t="s">
        <v>96</v>
      </c>
      <c r="C35" s="108">
        <v>18050400</v>
      </c>
      <c r="D35" s="109">
        <v>89732</v>
      </c>
      <c r="E35" s="109">
        <v>79536.08</v>
      </c>
      <c r="F35" s="171">
        <v>79650.8</v>
      </c>
      <c r="G35" s="109">
        <f t="shared" si="0"/>
        <v>114.72000000000116</v>
      </c>
      <c r="H35" s="111">
        <f t="shared" si="3"/>
        <v>100.1442364270404</v>
      </c>
      <c r="I35" s="110">
        <f t="shared" si="4"/>
        <v>-10081.199999999997</v>
      </c>
      <c r="J35" s="110">
        <f t="shared" si="5"/>
        <v>88.76521196451657</v>
      </c>
      <c r="K35" s="142">
        <v>50888.07</v>
      </c>
      <c r="L35" s="142">
        <f t="shared" si="1"/>
        <v>28762.730000000003</v>
      </c>
      <c r="M35" s="264">
        <f t="shared" si="10"/>
        <v>1.5652155799974337</v>
      </c>
      <c r="N35" s="111">
        <f>E35-липень!E35</f>
        <v>19100</v>
      </c>
      <c r="O35" s="179">
        <f>F35-липень!F35</f>
        <v>13618.979999999996</v>
      </c>
      <c r="P35" s="112">
        <f t="shared" si="6"/>
        <v>-5481.020000000004</v>
      </c>
      <c r="Q35" s="110">
        <f>O35/N35*100</f>
        <v>71.30356020942406</v>
      </c>
      <c r="R35" s="113"/>
      <c r="S35" s="114"/>
      <c r="T35" s="186">
        <f t="shared" si="8"/>
        <v>10195.919999999998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E36-липень!E36</f>
        <v>6.799999999999999</v>
      </c>
      <c r="O36" s="179">
        <f>F36-липень!F36</f>
        <v>4.48</v>
      </c>
      <c r="P36" s="112">
        <f t="shared" si="6"/>
        <v>-2.3199999999999985</v>
      </c>
      <c r="Q36" s="110"/>
      <c r="R36" s="113"/>
      <c r="S36" s="114"/>
      <c r="T36" s="186">
        <f t="shared" si="8"/>
        <v>34.21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F37-липень!F37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43061.03</v>
      </c>
      <c r="F38" s="191">
        <f>F39+F40+F41+F42+F43+F45+F47+F48+F49+F50+F51+F56+F57+F61+F44</f>
        <v>42988.27</v>
      </c>
      <c r="G38" s="191">
        <f>G39+G40+G41+G42+G43+G45+G47+G48+G49+G50+G51+G56+G57+G61</f>
        <v>-99.90999999999931</v>
      </c>
      <c r="H38" s="192">
        <f>F38/E38*100</f>
        <v>99.83103051645537</v>
      </c>
      <c r="I38" s="193">
        <f>F38-D38</f>
        <v>-13847.210000000006</v>
      </c>
      <c r="J38" s="193">
        <f>F38/D38*100</f>
        <v>75.63632787125223</v>
      </c>
      <c r="K38" s="191">
        <v>21607.34</v>
      </c>
      <c r="L38" s="191">
        <f t="shared" si="1"/>
        <v>21380.929999999997</v>
      </c>
      <c r="M38" s="250">
        <f t="shared" si="10"/>
        <v>1.9895216162655838</v>
      </c>
      <c r="N38" s="191">
        <f>N39+N40+N41+N42+N43+N45+N47+N48+N49+N50+N51+N56+N57+N61+N44</f>
        <v>18066</v>
      </c>
      <c r="O38" s="191">
        <f>O39+O40+O41+O42+O43+O45+O47+O48+O49+O50+O51+O56+O57+O61+O44</f>
        <v>6201.989999999999</v>
      </c>
      <c r="P38" s="191">
        <f>P39+P40+P41+P42+P43+P45+P47+P48+P49+P50+P51+P56+P57+P61</f>
        <v>-11863.68</v>
      </c>
      <c r="Q38" s="191">
        <f>O38/N38*100</f>
        <v>34.329624709398864</v>
      </c>
      <c r="R38" s="15" t="e">
        <f>#N/A</f>
        <v>#N/A</v>
      </c>
      <c r="S38" s="15" t="e">
        <f>#N/A</f>
        <v>#N/A</v>
      </c>
      <c r="T38" s="186">
        <f t="shared" si="8"/>
        <v>13774.450000000004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416.84</v>
      </c>
      <c r="G39" s="202">
        <f>F39-E39</f>
        <v>36.839999999999975</v>
      </c>
      <c r="H39" s="204">
        <f aca="true" t="shared" si="11" ref="H39:H62">F39/E39*100</f>
        <v>109.69473684210527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E39-липень!E39</f>
        <v>310</v>
      </c>
      <c r="O39" s="208">
        <f>F39-липень!F39</f>
        <v>175.45</v>
      </c>
      <c r="P39" s="207">
        <f>O39-N39</f>
        <v>-134.55</v>
      </c>
      <c r="Q39" s="205">
        <f aca="true" t="shared" si="12" ref="Q39:Q62">O39/N39*100</f>
        <v>56.596774193548384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f>17767+2700</f>
        <v>20467</v>
      </c>
      <c r="F40" s="196">
        <v>20560.18</v>
      </c>
      <c r="G40" s="202">
        <f aca="true" t="shared" si="13" ref="G40:G63">F40-E40</f>
        <v>93.18000000000029</v>
      </c>
      <c r="H40" s="204">
        <f t="shared" si="11"/>
        <v>100.45526945815215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12930</v>
      </c>
      <c r="O40" s="208">
        <f>F40-липень!F40</f>
        <v>3289.16</v>
      </c>
      <c r="P40" s="207">
        <f aca="true" t="shared" si="15" ref="P40:P63">O40-N40</f>
        <v>-9640.84</v>
      </c>
      <c r="Q40" s="205">
        <f t="shared" si="12"/>
        <v>25.43820572312451</v>
      </c>
      <c r="R40" s="42"/>
      <c r="S40" s="100"/>
      <c r="T40" s="186">
        <f t="shared" si="8"/>
        <v>4533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195.12</v>
      </c>
      <c r="G43" s="202">
        <f t="shared" si="13"/>
        <v>115.12</v>
      </c>
      <c r="H43" s="204">
        <f t="shared" si="11"/>
        <v>243.9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E43-липень!E43</f>
        <v>10</v>
      </c>
      <c r="O43" s="208">
        <f>F43-липень!F43</f>
        <v>7.159999999999997</v>
      </c>
      <c r="P43" s="207">
        <f t="shared" si="15"/>
        <v>-2.8400000000000034</v>
      </c>
      <c r="Q43" s="205">
        <f t="shared" si="12"/>
        <v>71.59999999999997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E44-липень!E44</f>
        <v>14</v>
      </c>
      <c r="O44" s="208">
        <f>F44-липень!F44</f>
        <v>13.669999999999998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328.11</v>
      </c>
      <c r="G45" s="202">
        <f t="shared" si="13"/>
        <v>72.11000000000001</v>
      </c>
      <c r="H45" s="204">
        <f t="shared" si="11"/>
        <v>128.16796875</v>
      </c>
      <c r="I45" s="205">
        <f t="shared" si="14"/>
        <v>28.110000000000014</v>
      </c>
      <c r="J45" s="205">
        <f t="shared" si="16"/>
        <v>109.37</v>
      </c>
      <c r="K45" s="205">
        <v>0</v>
      </c>
      <c r="L45" s="205">
        <f t="shared" si="1"/>
        <v>328.11</v>
      </c>
      <c r="M45" s="266"/>
      <c r="N45" s="204">
        <f>E45-липень!E45</f>
        <v>208</v>
      </c>
      <c r="O45" s="208">
        <f>F45-липень!F45</f>
        <v>79.74000000000001</v>
      </c>
      <c r="P45" s="207">
        <f t="shared" si="15"/>
        <v>-128.26</v>
      </c>
      <c r="Q45" s="205">
        <f t="shared" si="12"/>
        <v>38.33653846153847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>6139.02+910</f>
        <v>7049.02</v>
      </c>
      <c r="F47" s="196">
        <v>7062.64</v>
      </c>
      <c r="G47" s="202">
        <f t="shared" si="13"/>
        <v>13.61999999999989</v>
      </c>
      <c r="H47" s="204">
        <f t="shared" si="11"/>
        <v>100.19321834808244</v>
      </c>
      <c r="I47" s="205">
        <f t="shared" si="14"/>
        <v>-2837.3599999999997</v>
      </c>
      <c r="J47" s="205">
        <f t="shared" si="16"/>
        <v>71.33979797979798</v>
      </c>
      <c r="K47" s="205">
        <v>6772.05</v>
      </c>
      <c r="L47" s="205">
        <f t="shared" si="1"/>
        <v>290.59000000000015</v>
      </c>
      <c r="M47" s="266">
        <f t="shared" si="17"/>
        <v>1.0429101970599746</v>
      </c>
      <c r="N47" s="204">
        <f>E47-липень!E47</f>
        <v>1710</v>
      </c>
      <c r="O47" s="208">
        <f>F47-липень!F47</f>
        <v>972.0100000000002</v>
      </c>
      <c r="P47" s="207">
        <f t="shared" si="15"/>
        <v>-737.9899999999998</v>
      </c>
      <c r="Q47" s="205">
        <f t="shared" si="12"/>
        <v>56.84269005847955</v>
      </c>
      <c r="R47" s="42"/>
      <c r="S47" s="100"/>
      <c r="T47" s="186">
        <f t="shared" si="8"/>
        <v>2850.9799999999996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168.26</v>
      </c>
      <c r="G48" s="202">
        <f t="shared" si="13"/>
        <v>-481.74</v>
      </c>
      <c r="H48" s="204">
        <f t="shared" si="11"/>
        <v>25.886153846153842</v>
      </c>
      <c r="I48" s="205">
        <f t="shared" si="14"/>
        <v>-481.74</v>
      </c>
      <c r="J48" s="205">
        <f t="shared" si="16"/>
        <v>25.886153846153842</v>
      </c>
      <c r="K48" s="205">
        <v>0</v>
      </c>
      <c r="L48" s="205">
        <f t="shared" si="1"/>
        <v>168.26</v>
      </c>
      <c r="M48" s="266"/>
      <c r="N48" s="204">
        <f>E48-липень!E48</f>
        <v>0</v>
      </c>
      <c r="O48" s="208">
        <f>F48-липень!F48</f>
        <v>50.86999999999999</v>
      </c>
      <c r="P48" s="207">
        <f t="shared" si="15"/>
        <v>50.86999999999999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15.44</v>
      </c>
      <c r="G49" s="202">
        <f t="shared" si="13"/>
        <v>-12.56</v>
      </c>
      <c r="H49" s="204">
        <f t="shared" si="11"/>
        <v>55.14285714285714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E49-липень!E49</f>
        <v>4</v>
      </c>
      <c r="O49" s="208">
        <f>F49-липень!F49</f>
        <v>6.9</v>
      </c>
      <c r="P49" s="207">
        <f t="shared" si="15"/>
        <v>2.9000000000000004</v>
      </c>
      <c r="Q49" s="205">
        <f t="shared" si="12"/>
        <v>172.5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4347.61</v>
      </c>
      <c r="G51" s="202">
        <f t="shared" si="13"/>
        <v>-43.57999999999993</v>
      </c>
      <c r="H51" s="204">
        <f t="shared" si="11"/>
        <v>99.00755831562743</v>
      </c>
      <c r="I51" s="205">
        <f t="shared" si="14"/>
        <v>-2652.4300000000003</v>
      </c>
      <c r="J51" s="205">
        <f t="shared" si="16"/>
        <v>62.108359380803535</v>
      </c>
      <c r="K51" s="205">
        <v>5221.43</v>
      </c>
      <c r="L51" s="205">
        <f t="shared" si="1"/>
        <v>-873.8200000000006</v>
      </c>
      <c r="M51" s="266">
        <f t="shared" si="17"/>
        <v>0.8326473782086515</v>
      </c>
      <c r="N51" s="204">
        <f>E51-липень!E51</f>
        <v>519.9999999999995</v>
      </c>
      <c r="O51" s="208">
        <f>F51-липень!F51</f>
        <v>622.8199999999997</v>
      </c>
      <c r="P51" s="207">
        <f t="shared" si="15"/>
        <v>102.82000000000016</v>
      </c>
      <c r="Q51" s="205">
        <f t="shared" si="12"/>
        <v>119.77307692307697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570.13</v>
      </c>
      <c r="G52" s="36">
        <f t="shared" si="13"/>
        <v>-93.86000000000001</v>
      </c>
      <c r="H52" s="32">
        <f t="shared" si="11"/>
        <v>85.86424494344794</v>
      </c>
      <c r="I52" s="110">
        <f t="shared" si="14"/>
        <v>-399.87</v>
      </c>
      <c r="J52" s="110">
        <f t="shared" si="16"/>
        <v>58.77628865979382</v>
      </c>
      <c r="K52" s="110">
        <v>735.13</v>
      </c>
      <c r="L52" s="110">
        <f>F52-K52</f>
        <v>-165</v>
      </c>
      <c r="M52" s="115">
        <f t="shared" si="17"/>
        <v>0.7755499027382912</v>
      </c>
      <c r="N52" s="111">
        <f>E52-липень!E52</f>
        <v>20</v>
      </c>
      <c r="O52" s="179">
        <f>F52-липень!F52</f>
        <v>65.99000000000001</v>
      </c>
      <c r="P52" s="112">
        <f t="shared" si="15"/>
        <v>45.99000000000001</v>
      </c>
      <c r="Q52" s="132">
        <f t="shared" si="12"/>
        <v>329.95000000000005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3777.19</v>
      </c>
      <c r="G55" s="36">
        <f t="shared" si="13"/>
        <v>55.01999999999998</v>
      </c>
      <c r="H55" s="32">
        <f t="shared" si="11"/>
        <v>101.4781699922357</v>
      </c>
      <c r="I55" s="110">
        <f t="shared" si="14"/>
        <v>-2246.81</v>
      </c>
      <c r="J55" s="110">
        <f t="shared" si="16"/>
        <v>62.7023572377158</v>
      </c>
      <c r="K55" s="110">
        <v>4440.11</v>
      </c>
      <c r="L55" s="110">
        <f>F55-K55</f>
        <v>-662.9199999999996</v>
      </c>
      <c r="M55" s="115">
        <f t="shared" si="17"/>
        <v>0.8506973926321646</v>
      </c>
      <c r="N55" s="111">
        <f>E55-липень!E55</f>
        <v>500</v>
      </c>
      <c r="O55" s="179">
        <f>F55-липень!F55</f>
        <v>556.81</v>
      </c>
      <c r="P55" s="112">
        <f t="shared" si="15"/>
        <v>56.809999999999945</v>
      </c>
      <c r="Q55" s="132">
        <f t="shared" si="12"/>
        <v>111.36199999999998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>3567.98+700</f>
        <v>4267.98</v>
      </c>
      <c r="F57" s="196">
        <v>4601.83</v>
      </c>
      <c r="G57" s="202">
        <f t="shared" si="13"/>
        <v>333.85000000000036</v>
      </c>
      <c r="H57" s="204">
        <f t="shared" si="11"/>
        <v>107.8222016035689</v>
      </c>
      <c r="I57" s="205">
        <f t="shared" si="14"/>
        <v>-548.1700000000001</v>
      </c>
      <c r="J57" s="205">
        <f t="shared" si="16"/>
        <v>89.35592233009709</v>
      </c>
      <c r="K57" s="205">
        <v>3192.65</v>
      </c>
      <c r="L57" s="205">
        <f aca="true" t="shared" si="18" ref="L57:L63">F57-K57</f>
        <v>1409.1799999999998</v>
      </c>
      <c r="M57" s="266">
        <f t="shared" si="17"/>
        <v>1.4413825505457847</v>
      </c>
      <c r="N57" s="204">
        <f>E57-липень!E57</f>
        <v>1629.9999999999995</v>
      </c>
      <c r="O57" s="208">
        <f>F57-липень!F57</f>
        <v>339.9300000000003</v>
      </c>
      <c r="P57" s="207">
        <f t="shared" si="15"/>
        <v>-1290.0699999999993</v>
      </c>
      <c r="Q57" s="205">
        <f t="shared" si="12"/>
        <v>20.85460122699389</v>
      </c>
      <c r="R57" s="42"/>
      <c r="S57" s="100"/>
      <c r="T57" s="186">
        <f t="shared" si="8"/>
        <v>882.0200000000004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867.1</v>
      </c>
      <c r="G59" s="202"/>
      <c r="H59" s="204"/>
      <c r="I59" s="205"/>
      <c r="J59" s="205"/>
      <c r="K59" s="206">
        <v>890.52</v>
      </c>
      <c r="L59" s="205">
        <f t="shared" si="18"/>
        <v>-23.41999999999996</v>
      </c>
      <c r="M59" s="266">
        <f t="shared" si="17"/>
        <v>0.9737007591070387</v>
      </c>
      <c r="N59" s="236"/>
      <c r="O59" s="220">
        <f>F59-липень!F59</f>
        <v>135.64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152.27</v>
      </c>
      <c r="G61" s="202">
        <f t="shared" si="13"/>
        <v>52.27000000000001</v>
      </c>
      <c r="H61" s="204">
        <f t="shared" si="11"/>
        <v>152.27</v>
      </c>
      <c r="I61" s="205">
        <f t="shared" si="14"/>
        <v>52.27000000000001</v>
      </c>
      <c r="J61" s="205">
        <f t="shared" si="16"/>
        <v>152.27</v>
      </c>
      <c r="K61" s="205">
        <v>0.6</v>
      </c>
      <c r="L61" s="205">
        <f t="shared" si="18"/>
        <v>151.67000000000002</v>
      </c>
      <c r="M61" s="266">
        <f t="shared" si="17"/>
        <v>253.78333333333336</v>
      </c>
      <c r="N61" s="204">
        <f>E61-липень!E61</f>
        <v>80</v>
      </c>
      <c r="O61" s="208">
        <f>F61-липень!F61</f>
        <v>74.09</v>
      </c>
      <c r="P61" s="207">
        <f t="shared" si="15"/>
        <v>-5.909999999999997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672436.01</v>
      </c>
      <c r="F64" s="191">
        <f>F8+F38+F62+F63-0.02</f>
        <v>676523.63</v>
      </c>
      <c r="G64" s="191">
        <f>F64-E64</f>
        <v>4087.6199999999953</v>
      </c>
      <c r="H64" s="192">
        <f>F64/E64*100</f>
        <v>100.60788237679299</v>
      </c>
      <c r="I64" s="193">
        <f>F64-D64</f>
        <v>-314414.1000000001</v>
      </c>
      <c r="J64" s="193">
        <f>F64/D64*100</f>
        <v>68.27105372201339</v>
      </c>
      <c r="K64" s="193">
        <v>451134.19</v>
      </c>
      <c r="L64" s="193">
        <f>F64-K64</f>
        <v>225389.44</v>
      </c>
      <c r="M64" s="267">
        <f>F64/K64</f>
        <v>1.4996062036441973</v>
      </c>
      <c r="N64" s="191">
        <f>N8+N38+N62+N63</f>
        <v>148475.19999999995</v>
      </c>
      <c r="O64" s="191">
        <f>O8+O38+O62+O63-0.03</f>
        <v>95915.83999999997</v>
      </c>
      <c r="P64" s="195">
        <f>O64-N64</f>
        <v>-52559.359999999986</v>
      </c>
      <c r="Q64" s="193">
        <f>O64/N64*100</f>
        <v>64.60057976012156</v>
      </c>
      <c r="R64" s="28">
        <f>O64-34768</f>
        <v>61147.83999999997</v>
      </c>
      <c r="S64" s="128">
        <f>O64/34768</f>
        <v>2.758739070409571</v>
      </c>
      <c r="T64" s="186">
        <f t="shared" si="8"/>
        <v>318501.7200000001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-49.19</v>
      </c>
      <c r="L70" s="207">
        <f>F70-K70</f>
        <v>45.36</v>
      </c>
      <c r="M70" s="254">
        <f>F70/K70</f>
        <v>0.07786135393372637</v>
      </c>
      <c r="N70" s="204"/>
      <c r="O70" s="223">
        <f>F70-липень!F70</f>
        <v>-1.5300000000000002</v>
      </c>
      <c r="P70" s="207">
        <f>O70-N70</f>
        <v>-1.5300000000000002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-49.19</v>
      </c>
      <c r="L71" s="228">
        <f>F71-K71</f>
        <v>45.37</v>
      </c>
      <c r="M71" s="260">
        <f>F71/K71</f>
        <v>0.077658060581419</v>
      </c>
      <c r="N71" s="226">
        <f>N70</f>
        <v>0</v>
      </c>
      <c r="O71" s="229">
        <f>SUM(O69:O70)</f>
        <v>-1.5300000000000002</v>
      </c>
      <c r="P71" s="228">
        <f>O71-N71</f>
        <v>-1.5300000000000002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1535.17</v>
      </c>
      <c r="G73" s="202">
        <f aca="true" t="shared" si="19" ref="G73:G83">F73-E73</f>
        <v>-664.8299999999999</v>
      </c>
      <c r="H73" s="204"/>
      <c r="I73" s="207">
        <f aca="true" t="shared" si="20" ref="I73:I83">F73-D73</f>
        <v>-2664.83</v>
      </c>
      <c r="J73" s="207">
        <f>F73/D73*100</f>
        <v>36.55166666666666</v>
      </c>
      <c r="K73" s="207">
        <v>593.02</v>
      </c>
      <c r="L73" s="207">
        <f aca="true" t="shared" si="21" ref="L73:L83">F73-K73</f>
        <v>942.1500000000001</v>
      </c>
      <c r="M73" s="254">
        <f>F73/K73</f>
        <v>2.5887322518633438</v>
      </c>
      <c r="N73" s="204">
        <f>E73-липень!E73</f>
        <v>400</v>
      </c>
      <c r="O73" s="208">
        <f>F73-липень!F73</f>
        <v>0.11000000000012733</v>
      </c>
      <c r="P73" s="207">
        <f aca="true" t="shared" si="22" ref="P73:P86">O73-N73</f>
        <v>-399.8899999999999</v>
      </c>
      <c r="Q73" s="207">
        <f>O73/N73*100</f>
        <v>0.027500000000031832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6783.53</v>
      </c>
      <c r="G74" s="202">
        <f t="shared" si="19"/>
        <v>2906.3199999999997</v>
      </c>
      <c r="H74" s="204">
        <f>F74/E74*100</f>
        <v>174.95905560957493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E74-липень!E74</f>
        <v>549.9000000000001</v>
      </c>
      <c r="O74" s="208">
        <f>F74-липень!F74</f>
        <v>32.029999999999745</v>
      </c>
      <c r="P74" s="207">
        <f t="shared" si="22"/>
        <v>-517.8700000000003</v>
      </c>
      <c r="Q74" s="207">
        <f>O74/N74*100</f>
        <v>5.824695399163437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10477.14</v>
      </c>
      <c r="G75" s="202">
        <f t="shared" si="19"/>
        <v>8080.289999999999</v>
      </c>
      <c r="H75" s="204">
        <f>F75/E75*100</f>
        <v>437.1212216033544</v>
      </c>
      <c r="I75" s="207">
        <f t="shared" si="20"/>
        <v>4477.139999999999</v>
      </c>
      <c r="J75" s="207">
        <f>F75/D75*100</f>
        <v>174.619</v>
      </c>
      <c r="K75" s="207">
        <v>1838.64</v>
      </c>
      <c r="L75" s="207">
        <f t="shared" si="21"/>
        <v>8638.5</v>
      </c>
      <c r="M75" s="254">
        <f>F75/K75</f>
        <v>5.698309620154026</v>
      </c>
      <c r="N75" s="204">
        <f>E75-липень!E75</f>
        <v>302</v>
      </c>
      <c r="O75" s="208">
        <f>F75-липень!F75</f>
        <v>967.4499999999989</v>
      </c>
      <c r="P75" s="207">
        <f t="shared" si="22"/>
        <v>665.4499999999989</v>
      </c>
      <c r="Q75" s="207">
        <f>O75/N75*100</f>
        <v>320.34768211920493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18801.84</v>
      </c>
      <c r="G77" s="226">
        <f t="shared" si="19"/>
        <v>10319.78</v>
      </c>
      <c r="H77" s="227">
        <f>F77/E77*100</f>
        <v>221.66596322119864</v>
      </c>
      <c r="I77" s="228">
        <f t="shared" si="20"/>
        <v>1130.8400000000001</v>
      </c>
      <c r="J77" s="228">
        <f>F77/D77*100</f>
        <v>106.39941146511234</v>
      </c>
      <c r="K77" s="228">
        <v>5991.37</v>
      </c>
      <c r="L77" s="228">
        <f t="shared" si="21"/>
        <v>12810.470000000001</v>
      </c>
      <c r="M77" s="260">
        <f>F77/K77</f>
        <v>3.1381537110877815</v>
      </c>
      <c r="N77" s="226">
        <f>N73+N74+N75+N76</f>
        <v>1252.9</v>
      </c>
      <c r="O77" s="230">
        <f>O73+O74+O75+O76</f>
        <v>999.5899999999988</v>
      </c>
      <c r="P77" s="228">
        <f t="shared" si="22"/>
        <v>-253.3100000000013</v>
      </c>
      <c r="Q77" s="228">
        <f>O77/N77*100</f>
        <v>79.78210551520462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6824.83</v>
      </c>
      <c r="G80" s="202">
        <f t="shared" si="19"/>
        <v>-798.7700000000004</v>
      </c>
      <c r="H80" s="204">
        <f>F80/E80*100</f>
        <v>89.52240411354215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E80-липень!E80</f>
        <v>2496.3</v>
      </c>
      <c r="O80" s="208">
        <f>F80-липень!F80</f>
        <v>1922.4899999999998</v>
      </c>
      <c r="P80" s="207">
        <f>O80-N80</f>
        <v>-573.8100000000004</v>
      </c>
      <c r="Q80" s="231">
        <f>O80/N80*100</f>
        <v>77.01358009854583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0.88</v>
      </c>
      <c r="L81" s="207">
        <f t="shared" si="21"/>
        <v>0.21000000000000008</v>
      </c>
      <c r="M81" s="254">
        <f>F81/K81</f>
        <v>1.2386363636363638</v>
      </c>
      <c r="N81" s="204">
        <f>E81-липень!E81</f>
        <v>0</v>
      </c>
      <c r="O81" s="208">
        <f>F81-липень!F81</f>
        <v>0.17000000000000004</v>
      </c>
      <c r="P81" s="207">
        <f t="shared" si="22"/>
        <v>0.17000000000000004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6831.59</v>
      </c>
      <c r="G82" s="224">
        <f>G78+G81+G79+G80</f>
        <v>-792.0100000000004</v>
      </c>
      <c r="H82" s="227">
        <f>F82/E82*100</f>
        <v>89.61107613201112</v>
      </c>
      <c r="I82" s="228">
        <f t="shared" si="20"/>
        <v>-2669.41</v>
      </c>
      <c r="J82" s="228">
        <f>F82/D82*100</f>
        <v>71.90390485212083</v>
      </c>
      <c r="K82" s="228">
        <v>0.83</v>
      </c>
      <c r="L82" s="228">
        <f t="shared" si="21"/>
        <v>6830.76</v>
      </c>
      <c r="M82" s="268">
        <f>F82/K82</f>
        <v>8230.831325301206</v>
      </c>
      <c r="N82" s="226">
        <f>N78+N81+N79+N80</f>
        <v>2496.3</v>
      </c>
      <c r="O82" s="230">
        <f>O78+O81+O79+O80</f>
        <v>1923.12</v>
      </c>
      <c r="P82" s="226">
        <f>P78+P81+P79+P80</f>
        <v>-573.1800000000004</v>
      </c>
      <c r="Q82" s="228">
        <f>O82/N82*100</f>
        <v>77.03881744982574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19.38</v>
      </c>
      <c r="G83" s="202">
        <f t="shared" si="19"/>
        <v>-1.4200000000000017</v>
      </c>
      <c r="H83" s="204">
        <f>F83/E83*100</f>
        <v>93.17307692307692</v>
      </c>
      <c r="I83" s="207">
        <f t="shared" si="20"/>
        <v>-23.62</v>
      </c>
      <c r="J83" s="207">
        <f>F83/D83*100</f>
        <v>45.06976744186046</v>
      </c>
      <c r="K83" s="207">
        <v>21.06</v>
      </c>
      <c r="L83" s="207">
        <f t="shared" si="21"/>
        <v>-1.6799999999999997</v>
      </c>
      <c r="M83" s="254">
        <f>F83/K83</f>
        <v>0.9202279202279202</v>
      </c>
      <c r="N83" s="204">
        <f>E83-липень!E83</f>
        <v>0.5</v>
      </c>
      <c r="O83" s="208">
        <f>F83-липень!F83</f>
        <v>0.6199999999999974</v>
      </c>
      <c r="P83" s="207">
        <f t="shared" si="22"/>
        <v>0.11999999999999744</v>
      </c>
      <c r="Q83" s="207">
        <f>O83/N83</f>
        <v>1.2399999999999949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25648.99</v>
      </c>
      <c r="G85" s="233">
        <f>F85-E85</f>
        <v>9522.530000000002</v>
      </c>
      <c r="H85" s="234">
        <f>F85/E85*100</f>
        <v>159.04910315097055</v>
      </c>
      <c r="I85" s="235">
        <f>F85-D85</f>
        <v>-1566.0099999999984</v>
      </c>
      <c r="J85" s="235">
        <f>F85/D85*100</f>
        <v>94.24578357523426</v>
      </c>
      <c r="K85" s="235">
        <v>6163.42</v>
      </c>
      <c r="L85" s="235">
        <f>F85-K85</f>
        <v>19485.57</v>
      </c>
      <c r="M85" s="269">
        <f>F85/K85</f>
        <v>4.161486642156465</v>
      </c>
      <c r="N85" s="232">
        <f>N71+N83+N77+N82</f>
        <v>3749.7000000000003</v>
      </c>
      <c r="O85" s="232">
        <f>O71+O83+O77+O82+O84</f>
        <v>2921.799999999999</v>
      </c>
      <c r="P85" s="235">
        <f t="shared" si="22"/>
        <v>-827.9000000000015</v>
      </c>
      <c r="Q85" s="235">
        <f>O85/N85*100</f>
        <v>77.92090033869373</v>
      </c>
      <c r="R85" s="28">
        <f>O85-8104.96</f>
        <v>-5183.160000000002</v>
      </c>
      <c r="S85" s="101">
        <f>O85/8104.96</f>
        <v>0.3604953016424509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688562.47</v>
      </c>
      <c r="F86" s="232">
        <f>F64+F85</f>
        <v>702172.62</v>
      </c>
      <c r="G86" s="233">
        <f>F86-E86</f>
        <v>13610.150000000023</v>
      </c>
      <c r="H86" s="234">
        <f>F86/E86*100</f>
        <v>101.97660351717978</v>
      </c>
      <c r="I86" s="235">
        <f>F86-D86</f>
        <v>-315980.1100000001</v>
      </c>
      <c r="J86" s="235">
        <f>F86/D86*100</f>
        <v>68.96535257534495</v>
      </c>
      <c r="K86" s="235">
        <f>K64+K85</f>
        <v>457297.61</v>
      </c>
      <c r="L86" s="235">
        <f>F86-K86</f>
        <v>244875.01</v>
      </c>
      <c r="M86" s="269">
        <f>F86/K86</f>
        <v>1.5354828117295432</v>
      </c>
      <c r="N86" s="233">
        <f>N64+N85</f>
        <v>152224.89999999997</v>
      </c>
      <c r="O86" s="233">
        <f>O64+O85</f>
        <v>98837.63999999997</v>
      </c>
      <c r="P86" s="235">
        <f t="shared" si="22"/>
        <v>-53387.259999999995</v>
      </c>
      <c r="Q86" s="235">
        <f>O86/N86*100</f>
        <v>64.92869432004882</v>
      </c>
      <c r="R86" s="28">
        <f>O86-42872.96</f>
        <v>55964.67999999997</v>
      </c>
      <c r="S86" s="101">
        <f>O86/42872.96</f>
        <v>2.305360768185821</v>
      </c>
      <c r="T86" s="186">
        <f t="shared" si="23"/>
        <v>329590.2600000001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8"/>
      <c r="H89" s="438"/>
      <c r="I89" s="438"/>
      <c r="J89" s="438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42613</v>
      </c>
      <c r="D90" s="31">
        <v>3902.6</v>
      </c>
      <c r="G90" s="4" t="s">
        <v>59</v>
      </c>
      <c r="O90" s="439"/>
      <c r="P90" s="439"/>
      <c r="T90" s="186">
        <f t="shared" si="23"/>
        <v>3902.6</v>
      </c>
    </row>
    <row r="91" spans="3:16" ht="15">
      <c r="C91" s="87">
        <v>42612</v>
      </c>
      <c r="D91" s="31">
        <v>10466.3</v>
      </c>
      <c r="F91" s="124" t="s">
        <v>59</v>
      </c>
      <c r="G91" s="440"/>
      <c r="H91" s="440"/>
      <c r="I91" s="131"/>
      <c r="J91" s="441"/>
      <c r="K91" s="441"/>
      <c r="L91" s="441"/>
      <c r="M91" s="441"/>
      <c r="N91" s="441"/>
      <c r="O91" s="439"/>
      <c r="P91" s="439"/>
    </row>
    <row r="92" spans="3:16" ht="15.75" customHeight="1">
      <c r="C92" s="87">
        <v>42611</v>
      </c>
      <c r="D92" s="31">
        <v>8603.9</v>
      </c>
      <c r="F92" s="73"/>
      <c r="G92" s="440"/>
      <c r="H92" s="440"/>
      <c r="I92" s="131"/>
      <c r="J92" s="442"/>
      <c r="K92" s="442"/>
      <c r="L92" s="442"/>
      <c r="M92" s="442"/>
      <c r="N92" s="442"/>
      <c r="O92" s="439"/>
      <c r="P92" s="439"/>
    </row>
    <row r="93" spans="3:14" ht="15.75" customHeight="1">
      <c r="C93" s="87"/>
      <c r="F93" s="73"/>
      <c r="G93" s="446"/>
      <c r="H93" s="446"/>
      <c r="I93" s="139"/>
      <c r="J93" s="441"/>
      <c r="K93" s="441"/>
      <c r="L93" s="441"/>
      <c r="M93" s="441"/>
      <c r="N93" s="441"/>
    </row>
    <row r="94" spans="2:14" ht="18" customHeight="1">
      <c r="B94" s="447" t="s">
        <v>57</v>
      </c>
      <c r="C94" s="448"/>
      <c r="D94" s="148">
        <f>'[1]залишки  (2)'!$G$6/1000</f>
        <v>6</v>
      </c>
      <c r="E94" s="74"/>
      <c r="F94" s="140" t="s">
        <v>137</v>
      </c>
      <c r="G94" s="440"/>
      <c r="H94" s="440"/>
      <c r="I94" s="141"/>
      <c r="J94" s="441"/>
      <c r="K94" s="441"/>
      <c r="L94" s="441"/>
      <c r="M94" s="441"/>
      <c r="N94" s="441"/>
    </row>
    <row r="95" spans="6:13" ht="9.75" customHeight="1">
      <c r="F95" s="73"/>
      <c r="G95" s="440"/>
      <c r="H95" s="440"/>
      <c r="I95" s="73"/>
      <c r="J95" s="74"/>
      <c r="K95" s="74"/>
      <c r="L95" s="74"/>
      <c r="M95" s="74"/>
    </row>
    <row r="96" spans="2:13" ht="22.5" customHeight="1" hidden="1">
      <c r="B96" s="443" t="s">
        <v>60</v>
      </c>
      <c r="C96" s="444"/>
      <c r="D96" s="86">
        <v>0</v>
      </c>
      <c r="E96" s="56" t="s">
        <v>24</v>
      </c>
      <c r="F96" s="73"/>
      <c r="G96" s="440"/>
      <c r="H96" s="440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934</v>
      </c>
      <c r="F97" s="247">
        <f>F45+F48+F49</f>
        <v>511.81</v>
      </c>
      <c r="G97" s="73">
        <f>G45+G48+G49</f>
        <v>-422.19</v>
      </c>
      <c r="H97" s="74"/>
      <c r="I97" s="74"/>
      <c r="N97" s="31">
        <f>N45+N48+N49</f>
        <v>212</v>
      </c>
      <c r="O97" s="246">
        <f>O45+O48+O49</f>
        <v>137.51000000000002</v>
      </c>
      <c r="P97" s="31">
        <f>P45+P48+P49</f>
        <v>-74.49</v>
      </c>
    </row>
    <row r="98" spans="4:16" ht="15">
      <c r="D98" s="83"/>
      <c r="I98" s="31"/>
      <c r="O98" s="445"/>
      <c r="P98" s="445"/>
    </row>
    <row r="99" spans="15:16" ht="15">
      <c r="O99" s="440"/>
      <c r="P99" s="440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5748031496062992" right="0.15748031496062992" top="0" bottom="0" header="0" footer="0"/>
  <pageSetup fitToHeight="1" fitToWidth="1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9" sqref="F5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2" t="s">
        <v>188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92"/>
      <c r="S1" s="93"/>
    </row>
    <row r="2" spans="2:19" s="1" customFormat="1" ht="15.75" customHeight="1">
      <c r="B2" s="413"/>
      <c r="C2" s="413"/>
      <c r="D2" s="413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89"/>
      <c r="N3" s="422" t="s">
        <v>183</v>
      </c>
      <c r="O3" s="425" t="s">
        <v>184</v>
      </c>
      <c r="P3" s="425"/>
      <c r="Q3" s="425"/>
      <c r="R3" s="425"/>
      <c r="S3" s="425"/>
    </row>
    <row r="4" spans="1:19" ht="22.5" customHeight="1">
      <c r="A4" s="414"/>
      <c r="B4" s="416"/>
      <c r="C4" s="417"/>
      <c r="D4" s="418"/>
      <c r="E4" s="426" t="s">
        <v>179</v>
      </c>
      <c r="F4" s="428" t="s">
        <v>34</v>
      </c>
      <c r="G4" s="430" t="s">
        <v>180</v>
      </c>
      <c r="H4" s="423" t="s">
        <v>181</v>
      </c>
      <c r="I4" s="430" t="s">
        <v>122</v>
      </c>
      <c r="J4" s="423" t="s">
        <v>123</v>
      </c>
      <c r="K4" s="91" t="s">
        <v>186</v>
      </c>
      <c r="L4" s="249" t="s">
        <v>185</v>
      </c>
      <c r="M4" s="96" t="s">
        <v>64</v>
      </c>
      <c r="N4" s="423"/>
      <c r="O4" s="432" t="s">
        <v>189</v>
      </c>
      <c r="P4" s="430" t="s">
        <v>50</v>
      </c>
      <c r="Q4" s="434" t="s">
        <v>49</v>
      </c>
      <c r="R4" s="97" t="s">
        <v>65</v>
      </c>
      <c r="S4" s="98" t="s">
        <v>64</v>
      </c>
    </row>
    <row r="5" spans="1:19" ht="67.5" customHeight="1">
      <c r="A5" s="415"/>
      <c r="B5" s="416"/>
      <c r="C5" s="417"/>
      <c r="D5" s="418"/>
      <c r="E5" s="427"/>
      <c r="F5" s="429"/>
      <c r="G5" s="431"/>
      <c r="H5" s="424"/>
      <c r="I5" s="431"/>
      <c r="J5" s="424"/>
      <c r="K5" s="435" t="s">
        <v>182</v>
      </c>
      <c r="L5" s="436"/>
      <c r="M5" s="437"/>
      <c r="N5" s="424"/>
      <c r="O5" s="433"/>
      <c r="P5" s="431"/>
      <c r="Q5" s="434"/>
      <c r="R5" s="435" t="s">
        <v>120</v>
      </c>
      <c r="S5" s="437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731.46</v>
      </c>
      <c r="G59" s="202"/>
      <c r="H59" s="204"/>
      <c r="I59" s="205"/>
      <c r="J59" s="205"/>
      <c r="K59" s="206">
        <v>683.21</v>
      </c>
      <c r="L59" s="205">
        <f t="shared" si="24"/>
        <v>48.25</v>
      </c>
      <c r="M59" s="266">
        <f t="shared" si="25"/>
        <v>1.0706225025980298</v>
      </c>
      <c r="N59" s="236"/>
      <c r="O59" s="220">
        <f>F59-червень!F58</f>
        <v>139.20000000000005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38"/>
      <c r="H89" s="438"/>
      <c r="I89" s="438"/>
      <c r="J89" s="438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39"/>
      <c r="P90" s="439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40"/>
      <c r="H91" s="440"/>
      <c r="I91" s="131"/>
      <c r="J91" s="441"/>
      <c r="K91" s="441"/>
      <c r="L91" s="441"/>
      <c r="M91" s="441"/>
      <c r="N91" s="441"/>
      <c r="O91" s="439"/>
      <c r="P91" s="439"/>
    </row>
    <row r="92" spans="3:16" ht="15.75" customHeight="1">
      <c r="C92" s="87">
        <v>42578</v>
      </c>
      <c r="D92" s="31">
        <v>8357.1</v>
      </c>
      <c r="F92" s="73"/>
      <c r="G92" s="440"/>
      <c r="H92" s="440"/>
      <c r="I92" s="131"/>
      <c r="J92" s="442"/>
      <c r="K92" s="442"/>
      <c r="L92" s="442"/>
      <c r="M92" s="442"/>
      <c r="N92" s="442"/>
      <c r="O92" s="439"/>
      <c r="P92" s="439"/>
    </row>
    <row r="93" spans="3:14" ht="15.75" customHeight="1">
      <c r="C93" s="87"/>
      <c r="F93" s="73"/>
      <c r="G93" s="446"/>
      <c r="H93" s="446"/>
      <c r="I93" s="139"/>
      <c r="J93" s="441"/>
      <c r="K93" s="441"/>
      <c r="L93" s="441"/>
      <c r="M93" s="441"/>
      <c r="N93" s="441"/>
    </row>
    <row r="94" spans="2:14" ht="18.75" customHeight="1">
      <c r="B94" s="447" t="s">
        <v>57</v>
      </c>
      <c r="C94" s="448"/>
      <c r="D94" s="148">
        <v>14372.98265</v>
      </c>
      <c r="E94" s="74"/>
      <c r="F94" s="140" t="s">
        <v>137</v>
      </c>
      <c r="G94" s="440"/>
      <c r="H94" s="440"/>
      <c r="I94" s="141"/>
      <c r="J94" s="441"/>
      <c r="K94" s="441"/>
      <c r="L94" s="441"/>
      <c r="M94" s="441"/>
      <c r="N94" s="441"/>
    </row>
    <row r="95" spans="6:13" ht="9.75" customHeight="1" hidden="1">
      <c r="F95" s="73"/>
      <c r="G95" s="440"/>
      <c r="H95" s="440"/>
      <c r="I95" s="73"/>
      <c r="J95" s="74"/>
      <c r="K95" s="74"/>
      <c r="L95" s="74"/>
      <c r="M95" s="74"/>
    </row>
    <row r="96" spans="2:13" ht="22.5" customHeight="1" hidden="1">
      <c r="B96" s="443" t="s">
        <v>60</v>
      </c>
      <c r="C96" s="444"/>
      <c r="D96" s="86">
        <v>0</v>
      </c>
      <c r="E96" s="56" t="s">
        <v>24</v>
      </c>
      <c r="F96" s="73"/>
      <c r="G96" s="440"/>
      <c r="H96" s="440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45"/>
      <c r="P98" s="445"/>
    </row>
    <row r="99" spans="15:16" ht="15">
      <c r="O99" s="440"/>
      <c r="P99" s="440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1" sqref="F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1" t="s">
        <v>177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422" t="s">
        <v>172</v>
      </c>
      <c r="N3" s="434" t="s">
        <v>173</v>
      </c>
      <c r="O3" s="434"/>
      <c r="P3" s="434"/>
      <c r="Q3" s="434"/>
      <c r="R3" s="434"/>
    </row>
    <row r="4" spans="1:18" ht="22.5" customHeight="1">
      <c r="A4" s="414"/>
      <c r="B4" s="416"/>
      <c r="C4" s="417"/>
      <c r="D4" s="418"/>
      <c r="E4" s="426" t="s">
        <v>170</v>
      </c>
      <c r="F4" s="449" t="s">
        <v>34</v>
      </c>
      <c r="G4" s="430" t="s">
        <v>171</v>
      </c>
      <c r="H4" s="423" t="s">
        <v>175</v>
      </c>
      <c r="I4" s="430" t="s">
        <v>122</v>
      </c>
      <c r="J4" s="423" t="s">
        <v>123</v>
      </c>
      <c r="K4" s="248" t="s">
        <v>65</v>
      </c>
      <c r="L4" s="283" t="s">
        <v>64</v>
      </c>
      <c r="M4" s="423"/>
      <c r="N4" s="432" t="s">
        <v>178</v>
      </c>
      <c r="O4" s="430" t="s">
        <v>50</v>
      </c>
      <c r="P4" s="434" t="s">
        <v>49</v>
      </c>
      <c r="Q4" s="284" t="s">
        <v>65</v>
      </c>
      <c r="R4" s="285" t="s">
        <v>64</v>
      </c>
    </row>
    <row r="5" spans="1:18" ht="67.5" customHeight="1">
      <c r="A5" s="415"/>
      <c r="B5" s="416"/>
      <c r="C5" s="417"/>
      <c r="D5" s="418"/>
      <c r="E5" s="427"/>
      <c r="F5" s="450"/>
      <c r="G5" s="431"/>
      <c r="H5" s="424"/>
      <c r="I5" s="431"/>
      <c r="J5" s="424"/>
      <c r="K5" s="435" t="s">
        <v>174</v>
      </c>
      <c r="L5" s="437"/>
      <c r="M5" s="424"/>
      <c r="N5" s="433"/>
      <c r="O5" s="431"/>
      <c r="P5" s="434"/>
      <c r="Q5" s="435" t="s">
        <v>120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f>591.66+0.6</f>
        <v>592.26</v>
      </c>
      <c r="G58" s="310"/>
      <c r="H58" s="311"/>
      <c r="I58" s="312"/>
      <c r="J58" s="312"/>
      <c r="K58" s="313">
        <f>F58-577.4</f>
        <v>14.860000000000014</v>
      </c>
      <c r="L58" s="313">
        <f>F58/577.4*100</f>
        <v>102.57360581918947</v>
      </c>
      <c r="M58" s="341"/>
      <c r="N58" s="342">
        <f>F58-травень!F58</f>
        <v>113.58999999999997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30.75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8"/>
      <c r="H88" s="438"/>
      <c r="I88" s="438"/>
      <c r="J88" s="438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39"/>
      <c r="O89" s="439"/>
    </row>
    <row r="90" spans="3:15" ht="15">
      <c r="C90" s="87">
        <v>42550</v>
      </c>
      <c r="D90" s="31">
        <v>11029.3</v>
      </c>
      <c r="F90" s="124" t="s">
        <v>59</v>
      </c>
      <c r="G90" s="440"/>
      <c r="H90" s="440"/>
      <c r="I90" s="131"/>
      <c r="J90" s="441"/>
      <c r="K90" s="441"/>
      <c r="L90" s="441"/>
      <c r="M90" s="441"/>
      <c r="N90" s="439"/>
      <c r="O90" s="439"/>
    </row>
    <row r="91" spans="3:15" ht="15.75" customHeight="1">
      <c r="C91" s="87">
        <v>42545</v>
      </c>
      <c r="D91" s="31">
        <v>6499.7</v>
      </c>
      <c r="F91" s="73"/>
      <c r="G91" s="440"/>
      <c r="H91" s="440"/>
      <c r="I91" s="131"/>
      <c r="J91" s="442"/>
      <c r="K91" s="442"/>
      <c r="L91" s="442"/>
      <c r="M91" s="442"/>
      <c r="N91" s="439"/>
      <c r="O91" s="439"/>
    </row>
    <row r="92" spans="3:13" ht="15.75" customHeight="1">
      <c r="C92" s="87"/>
      <c r="F92" s="73"/>
      <c r="G92" s="446"/>
      <c r="H92" s="446"/>
      <c r="I92" s="139"/>
      <c r="J92" s="441"/>
      <c r="K92" s="441"/>
      <c r="L92" s="441"/>
      <c r="M92" s="441"/>
    </row>
    <row r="93" spans="2:13" ht="18.75" customHeight="1">
      <c r="B93" s="447" t="s">
        <v>57</v>
      </c>
      <c r="C93" s="448"/>
      <c r="D93" s="148">
        <v>9447.89588</v>
      </c>
      <c r="E93" s="74"/>
      <c r="F93" s="140" t="s">
        <v>137</v>
      </c>
      <c r="G93" s="440"/>
      <c r="H93" s="440"/>
      <c r="I93" s="141"/>
      <c r="J93" s="441"/>
      <c r="K93" s="441"/>
      <c r="L93" s="441"/>
      <c r="M93" s="441"/>
    </row>
    <row r="94" spans="6:12" ht="9.75" customHeight="1">
      <c r="F94" s="73"/>
      <c r="G94" s="440"/>
      <c r="H94" s="440"/>
      <c r="I94" s="73"/>
      <c r="J94" s="74"/>
      <c r="K94" s="74"/>
      <c r="L94" s="74"/>
    </row>
    <row r="95" spans="2:12" ht="22.5" customHeight="1">
      <c r="B95" s="443" t="s">
        <v>60</v>
      </c>
      <c r="C95" s="444"/>
      <c r="D95" s="86">
        <v>0</v>
      </c>
      <c r="E95" s="56" t="s">
        <v>24</v>
      </c>
      <c r="F95" s="73"/>
      <c r="G95" s="440"/>
      <c r="H95" s="440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45"/>
      <c r="O97" s="445"/>
    </row>
    <row r="98" spans="14:15" ht="15">
      <c r="N98" s="440"/>
      <c r="O98" s="440"/>
    </row>
    <row r="99" ht="15">
      <c r="N99" s="31"/>
    </row>
    <row r="102" ht="15">
      <c r="E102" s="4" t="s">
        <v>59</v>
      </c>
    </row>
  </sheetData>
  <sheetProtection/>
  <mergeCells count="37">
    <mergeCell ref="N98:O98"/>
    <mergeCell ref="G92:H92"/>
    <mergeCell ref="J92:M92"/>
    <mergeCell ref="B93:C93"/>
    <mergeCell ref="G93:H93"/>
    <mergeCell ref="J93:M93"/>
    <mergeCell ref="G94:H94"/>
    <mergeCell ref="G91:H91"/>
    <mergeCell ref="J91:M91"/>
    <mergeCell ref="N91:O91"/>
    <mergeCell ref="B95:C95"/>
    <mergeCell ref="G95:H95"/>
    <mergeCell ref="N97:O97"/>
    <mergeCell ref="G88:J88"/>
    <mergeCell ref="N89:O89"/>
    <mergeCell ref="G90:H90"/>
    <mergeCell ref="J90:M90"/>
    <mergeCell ref="N90:O90"/>
    <mergeCell ref="G4:G5"/>
    <mergeCell ref="H4:H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Q5:R5"/>
    <mergeCell ref="E4:E5"/>
    <mergeCell ref="F4:F5"/>
    <mergeCell ref="I4:I5"/>
    <mergeCell ref="J4:J5"/>
    <mergeCell ref="N4:N5"/>
    <mergeCell ref="O4:O5"/>
  </mergeCells>
  <printOptions/>
  <pageMargins left="0.1968503937007874" right="0.1968503937007874" top="0.1968503937007874" bottom="0.1968503937007874" header="0" footer="0"/>
  <pageSetup fitToHeight="1" fitToWidth="1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0" sqref="G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2" t="s">
        <v>168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92"/>
      <c r="R1" s="93"/>
    </row>
    <row r="2" spans="2:18" s="1" customFormat="1" ht="15.75" customHeight="1">
      <c r="B2" s="452"/>
      <c r="C2" s="452"/>
      <c r="D2" s="452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422" t="s">
        <v>162</v>
      </c>
      <c r="N3" s="425" t="s">
        <v>163</v>
      </c>
      <c r="O3" s="425"/>
      <c r="P3" s="425"/>
      <c r="Q3" s="425"/>
      <c r="R3" s="425"/>
    </row>
    <row r="4" spans="1:18" ht="22.5" customHeight="1">
      <c r="A4" s="414"/>
      <c r="B4" s="416"/>
      <c r="C4" s="417"/>
      <c r="D4" s="418"/>
      <c r="E4" s="426" t="s">
        <v>158</v>
      </c>
      <c r="F4" s="453" t="s">
        <v>34</v>
      </c>
      <c r="G4" s="430" t="s">
        <v>159</v>
      </c>
      <c r="H4" s="423" t="s">
        <v>160</v>
      </c>
      <c r="I4" s="430" t="s">
        <v>122</v>
      </c>
      <c r="J4" s="423" t="s">
        <v>123</v>
      </c>
      <c r="K4" s="91" t="s">
        <v>65</v>
      </c>
      <c r="L4" s="96" t="s">
        <v>64</v>
      </c>
      <c r="M4" s="423"/>
      <c r="N4" s="432" t="s">
        <v>169</v>
      </c>
      <c r="O4" s="430" t="s">
        <v>50</v>
      </c>
      <c r="P4" s="434" t="s">
        <v>49</v>
      </c>
      <c r="Q4" s="97" t="s">
        <v>65</v>
      </c>
      <c r="R4" s="98" t="s">
        <v>64</v>
      </c>
    </row>
    <row r="5" spans="1:18" ht="78.75" customHeight="1">
      <c r="A5" s="415"/>
      <c r="B5" s="416"/>
      <c r="C5" s="417"/>
      <c r="D5" s="418"/>
      <c r="E5" s="427"/>
      <c r="F5" s="454"/>
      <c r="G5" s="431"/>
      <c r="H5" s="424"/>
      <c r="I5" s="431"/>
      <c r="J5" s="424"/>
      <c r="K5" s="435" t="s">
        <v>161</v>
      </c>
      <c r="L5" s="437"/>
      <c r="M5" s="424"/>
      <c r="N5" s="433"/>
      <c r="O5" s="431"/>
      <c r="P5" s="434"/>
      <c r="Q5" s="435" t="s">
        <v>120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8"/>
      <c r="H88" s="438"/>
      <c r="I88" s="438"/>
      <c r="J88" s="438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39"/>
      <c r="O89" s="439"/>
    </row>
    <row r="90" spans="3:15" ht="15">
      <c r="C90" s="87">
        <v>42520</v>
      </c>
      <c r="D90" s="31">
        <v>8891</v>
      </c>
      <c r="F90" s="124" t="s">
        <v>59</v>
      </c>
      <c r="G90" s="440"/>
      <c r="H90" s="440"/>
      <c r="I90" s="131"/>
      <c r="J90" s="441"/>
      <c r="K90" s="441"/>
      <c r="L90" s="441"/>
      <c r="M90" s="441"/>
      <c r="N90" s="439"/>
      <c r="O90" s="439"/>
    </row>
    <row r="91" spans="3:15" ht="15.75" customHeight="1">
      <c r="C91" s="87">
        <v>42517</v>
      </c>
      <c r="D91" s="31">
        <v>7356.3</v>
      </c>
      <c r="F91" s="73"/>
      <c r="G91" s="440"/>
      <c r="H91" s="440"/>
      <c r="I91" s="131"/>
      <c r="J91" s="442"/>
      <c r="K91" s="442"/>
      <c r="L91" s="442"/>
      <c r="M91" s="442"/>
      <c r="N91" s="439"/>
      <c r="O91" s="439"/>
    </row>
    <row r="92" spans="3:13" ht="15.75" customHeight="1">
      <c r="C92" s="87"/>
      <c r="F92" s="73"/>
      <c r="G92" s="446"/>
      <c r="H92" s="446"/>
      <c r="I92" s="139"/>
      <c r="J92" s="441"/>
      <c r="K92" s="441"/>
      <c r="L92" s="441"/>
      <c r="M92" s="441"/>
    </row>
    <row r="93" spans="2:13" ht="18.75" customHeight="1">
      <c r="B93" s="447" t="s">
        <v>57</v>
      </c>
      <c r="C93" s="448"/>
      <c r="D93" s="148">
        <v>2811.04042</v>
      </c>
      <c r="E93" s="74"/>
      <c r="F93" s="140" t="s">
        <v>137</v>
      </c>
      <c r="G93" s="440"/>
      <c r="H93" s="440"/>
      <c r="I93" s="141"/>
      <c r="J93" s="441"/>
      <c r="K93" s="441"/>
      <c r="L93" s="441"/>
      <c r="M93" s="441"/>
    </row>
    <row r="94" spans="6:12" ht="9.75" customHeight="1">
      <c r="F94" s="73"/>
      <c r="G94" s="440"/>
      <c r="H94" s="440"/>
      <c r="I94" s="73"/>
      <c r="J94" s="74"/>
      <c r="K94" s="74"/>
      <c r="L94" s="74"/>
    </row>
    <row r="95" spans="2:12" ht="22.5" customHeight="1">
      <c r="B95" s="443" t="s">
        <v>60</v>
      </c>
      <c r="C95" s="444"/>
      <c r="D95" s="86">
        <v>0</v>
      </c>
      <c r="E95" s="56" t="s">
        <v>24</v>
      </c>
      <c r="F95" s="73"/>
      <c r="G95" s="440"/>
      <c r="H95" s="440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45"/>
      <c r="O97" s="445"/>
    </row>
    <row r="98" spans="14:15" ht="15">
      <c r="N98" s="440"/>
      <c r="O98" s="440"/>
    </row>
    <row r="102" ht="15">
      <c r="E102" s="4" t="s">
        <v>59</v>
      </c>
    </row>
  </sheetData>
  <sheetProtection/>
  <mergeCells count="38"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  <mergeCell ref="G90:H90"/>
    <mergeCell ref="J90:M90"/>
    <mergeCell ref="N90:O90"/>
    <mergeCell ref="G91:H91"/>
    <mergeCell ref="J91:M91"/>
    <mergeCell ref="N91:O91"/>
    <mergeCell ref="O4:O5"/>
    <mergeCell ref="P4:P5"/>
    <mergeCell ref="K5:L5"/>
    <mergeCell ref="Q5:R5"/>
    <mergeCell ref="G88:J88"/>
    <mergeCell ref="N89:O89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2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57" sqref="N5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2" t="s">
        <v>156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92"/>
      <c r="R1" s="93"/>
    </row>
    <row r="2" spans="2:18" s="1" customFormat="1" ht="15.75" customHeight="1">
      <c r="B2" s="452"/>
      <c r="C2" s="452"/>
      <c r="D2" s="452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422" t="s">
        <v>153</v>
      </c>
      <c r="N3" s="425" t="s">
        <v>154</v>
      </c>
      <c r="O3" s="425"/>
      <c r="P3" s="425"/>
      <c r="Q3" s="425"/>
      <c r="R3" s="425"/>
    </row>
    <row r="4" spans="1:18" ht="22.5" customHeight="1">
      <c r="A4" s="414"/>
      <c r="B4" s="416"/>
      <c r="C4" s="417"/>
      <c r="D4" s="418"/>
      <c r="E4" s="426" t="s">
        <v>150</v>
      </c>
      <c r="F4" s="453" t="s">
        <v>34</v>
      </c>
      <c r="G4" s="430" t="s">
        <v>151</v>
      </c>
      <c r="H4" s="423" t="s">
        <v>152</v>
      </c>
      <c r="I4" s="430" t="s">
        <v>122</v>
      </c>
      <c r="J4" s="423" t="s">
        <v>123</v>
      </c>
      <c r="K4" s="91" t="s">
        <v>65</v>
      </c>
      <c r="L4" s="96" t="s">
        <v>64</v>
      </c>
      <c r="M4" s="423"/>
      <c r="N4" s="432" t="s">
        <v>157</v>
      </c>
      <c r="O4" s="430" t="s">
        <v>50</v>
      </c>
      <c r="P4" s="434" t="s">
        <v>49</v>
      </c>
      <c r="Q4" s="97" t="s">
        <v>65</v>
      </c>
      <c r="R4" s="98" t="s">
        <v>64</v>
      </c>
    </row>
    <row r="5" spans="1:18" ht="78.75" customHeight="1">
      <c r="A5" s="415"/>
      <c r="B5" s="416"/>
      <c r="C5" s="417"/>
      <c r="D5" s="418"/>
      <c r="E5" s="427"/>
      <c r="F5" s="454"/>
      <c r="G5" s="431"/>
      <c r="H5" s="424"/>
      <c r="I5" s="431"/>
      <c r="J5" s="424"/>
      <c r="K5" s="435" t="s">
        <v>155</v>
      </c>
      <c r="L5" s="437"/>
      <c r="M5" s="424"/>
      <c r="N5" s="433"/>
      <c r="O5" s="431"/>
      <c r="P5" s="434"/>
      <c r="Q5" s="435" t="s">
        <v>120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38"/>
      <c r="H84" s="438"/>
      <c r="I84" s="438"/>
      <c r="J84" s="438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39"/>
      <c r="O85" s="439"/>
    </row>
    <row r="86" spans="3:15" ht="15">
      <c r="C86" s="87">
        <v>42488</v>
      </c>
      <c r="D86" s="31">
        <v>11419.7</v>
      </c>
      <c r="F86" s="124" t="s">
        <v>59</v>
      </c>
      <c r="G86" s="440"/>
      <c r="H86" s="440"/>
      <c r="I86" s="131"/>
      <c r="J86" s="441"/>
      <c r="K86" s="441"/>
      <c r="L86" s="441"/>
      <c r="M86" s="441"/>
      <c r="N86" s="439"/>
      <c r="O86" s="439"/>
    </row>
    <row r="87" spans="3:15" ht="15.75" customHeight="1">
      <c r="C87" s="87">
        <v>42487</v>
      </c>
      <c r="D87" s="31">
        <v>7800.7</v>
      </c>
      <c r="F87" s="73"/>
      <c r="G87" s="440"/>
      <c r="H87" s="440"/>
      <c r="I87" s="131"/>
      <c r="J87" s="442"/>
      <c r="K87" s="442"/>
      <c r="L87" s="442"/>
      <c r="M87" s="442"/>
      <c r="N87" s="439"/>
      <c r="O87" s="439"/>
    </row>
    <row r="88" spans="3:13" ht="15.75" customHeight="1">
      <c r="C88" s="87"/>
      <c r="F88" s="73"/>
      <c r="G88" s="446"/>
      <c r="H88" s="446"/>
      <c r="I88" s="139"/>
      <c r="J88" s="441"/>
      <c r="K88" s="441"/>
      <c r="L88" s="441"/>
      <c r="M88" s="441"/>
    </row>
    <row r="89" spans="2:13" ht="18.75" customHeight="1">
      <c r="B89" s="447" t="s">
        <v>57</v>
      </c>
      <c r="C89" s="448"/>
      <c r="D89" s="148">
        <v>9087.9705</v>
      </c>
      <c r="E89" s="74"/>
      <c r="F89" s="140" t="s">
        <v>137</v>
      </c>
      <c r="G89" s="440"/>
      <c r="H89" s="440"/>
      <c r="I89" s="141"/>
      <c r="J89" s="441"/>
      <c r="K89" s="441"/>
      <c r="L89" s="441"/>
      <c r="M89" s="441"/>
    </row>
    <row r="90" spans="6:12" ht="9.75" customHeight="1">
      <c r="F90" s="73"/>
      <c r="G90" s="440"/>
      <c r="H90" s="440"/>
      <c r="I90" s="73"/>
      <c r="J90" s="74"/>
      <c r="K90" s="74"/>
      <c r="L90" s="74"/>
    </row>
    <row r="91" spans="2:12" ht="22.5" customHeight="1" hidden="1">
      <c r="B91" s="443" t="s">
        <v>60</v>
      </c>
      <c r="C91" s="444"/>
      <c r="D91" s="86">
        <v>0</v>
      </c>
      <c r="E91" s="56" t="s">
        <v>24</v>
      </c>
      <c r="F91" s="73"/>
      <c r="G91" s="440"/>
      <c r="H91" s="440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40"/>
      <c r="O92" s="440"/>
    </row>
    <row r="93" spans="4:15" ht="15">
      <c r="D93" s="83"/>
      <c r="I93" s="31"/>
      <c r="N93" s="445"/>
      <c r="O93" s="445"/>
    </row>
    <row r="94" spans="14:15" ht="15">
      <c r="N94" s="440"/>
      <c r="O94" s="440"/>
    </row>
    <row r="98" ht="15">
      <c r="E98" s="4" t="s">
        <v>59</v>
      </c>
    </row>
  </sheetData>
  <sheetProtection/>
  <mergeCells count="39"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  <mergeCell ref="G90:H90"/>
    <mergeCell ref="G86:H86"/>
    <mergeCell ref="J86:M86"/>
    <mergeCell ref="N86:O86"/>
    <mergeCell ref="G87:H87"/>
    <mergeCell ref="J87:M87"/>
    <mergeCell ref="N87:O87"/>
    <mergeCell ref="O4:O5"/>
    <mergeCell ref="P4:P5"/>
    <mergeCell ref="K5:L5"/>
    <mergeCell ref="Q5:R5"/>
    <mergeCell ref="G84:J84"/>
    <mergeCell ref="N85:O85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3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2" t="s">
        <v>148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92"/>
      <c r="R1" s="93"/>
    </row>
    <row r="2" spans="2:18" s="1" customFormat="1" ht="15.75" customHeight="1">
      <c r="B2" s="452"/>
      <c r="C2" s="452"/>
      <c r="D2" s="452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422" t="s">
        <v>147</v>
      </c>
      <c r="N3" s="425" t="s">
        <v>143</v>
      </c>
      <c r="O3" s="425"/>
      <c r="P3" s="425"/>
      <c r="Q3" s="425"/>
      <c r="R3" s="425"/>
    </row>
    <row r="4" spans="1:18" ht="22.5" customHeight="1">
      <c r="A4" s="414"/>
      <c r="B4" s="416"/>
      <c r="C4" s="417"/>
      <c r="D4" s="418"/>
      <c r="E4" s="426" t="s">
        <v>146</v>
      </c>
      <c r="F4" s="453" t="s">
        <v>34</v>
      </c>
      <c r="G4" s="430" t="s">
        <v>141</v>
      </c>
      <c r="H4" s="423" t="s">
        <v>142</v>
      </c>
      <c r="I4" s="430" t="s">
        <v>122</v>
      </c>
      <c r="J4" s="423" t="s">
        <v>123</v>
      </c>
      <c r="K4" s="91" t="s">
        <v>65</v>
      </c>
      <c r="L4" s="96" t="s">
        <v>64</v>
      </c>
      <c r="M4" s="423"/>
      <c r="N4" s="432" t="s">
        <v>149</v>
      </c>
      <c r="O4" s="430" t="s">
        <v>50</v>
      </c>
      <c r="P4" s="434" t="s">
        <v>49</v>
      </c>
      <c r="Q4" s="97" t="s">
        <v>65</v>
      </c>
      <c r="R4" s="98" t="s">
        <v>64</v>
      </c>
    </row>
    <row r="5" spans="1:18" ht="78.75" customHeight="1">
      <c r="A5" s="415"/>
      <c r="B5" s="416"/>
      <c r="C5" s="417"/>
      <c r="D5" s="418"/>
      <c r="E5" s="427"/>
      <c r="F5" s="454"/>
      <c r="G5" s="431"/>
      <c r="H5" s="424"/>
      <c r="I5" s="431"/>
      <c r="J5" s="424"/>
      <c r="K5" s="435" t="s">
        <v>144</v>
      </c>
      <c r="L5" s="437"/>
      <c r="M5" s="424"/>
      <c r="N5" s="433"/>
      <c r="O5" s="431"/>
      <c r="P5" s="434"/>
      <c r="Q5" s="435" t="s">
        <v>120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38"/>
      <c r="H83" s="438"/>
      <c r="I83" s="438"/>
      <c r="J83" s="438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39"/>
      <c r="O84" s="439"/>
    </row>
    <row r="85" spans="3:15" ht="15">
      <c r="C85" s="87">
        <v>42459</v>
      </c>
      <c r="D85" s="31">
        <v>7576.3</v>
      </c>
      <c r="F85" s="124" t="s">
        <v>59</v>
      </c>
      <c r="G85" s="440"/>
      <c r="H85" s="440"/>
      <c r="I85" s="131"/>
      <c r="J85" s="441"/>
      <c r="K85" s="441"/>
      <c r="L85" s="441"/>
      <c r="M85" s="441"/>
      <c r="N85" s="439"/>
      <c r="O85" s="439"/>
    </row>
    <row r="86" spans="3:15" ht="15.75" customHeight="1">
      <c r="C86" s="87">
        <v>42458</v>
      </c>
      <c r="D86" s="31">
        <v>9190.1</v>
      </c>
      <c r="F86" s="73"/>
      <c r="G86" s="440"/>
      <c r="H86" s="440"/>
      <c r="I86" s="131"/>
      <c r="J86" s="442"/>
      <c r="K86" s="442"/>
      <c r="L86" s="442"/>
      <c r="M86" s="442"/>
      <c r="N86" s="439"/>
      <c r="O86" s="439"/>
    </row>
    <row r="87" spans="3:13" ht="15.75" customHeight="1">
      <c r="C87" s="87"/>
      <c r="F87" s="73"/>
      <c r="G87" s="446"/>
      <c r="H87" s="446"/>
      <c r="I87" s="139"/>
      <c r="J87" s="441"/>
      <c r="K87" s="441"/>
      <c r="L87" s="441"/>
      <c r="M87" s="441"/>
    </row>
    <row r="88" spans="2:13" ht="18.75" customHeight="1">
      <c r="B88" s="447" t="s">
        <v>57</v>
      </c>
      <c r="C88" s="448"/>
      <c r="D88" s="148">
        <f>4343.7</f>
        <v>4343.7</v>
      </c>
      <c r="E88" s="74"/>
      <c r="F88" s="140" t="s">
        <v>137</v>
      </c>
      <c r="G88" s="440"/>
      <c r="H88" s="440"/>
      <c r="I88" s="141"/>
      <c r="J88" s="441"/>
      <c r="K88" s="441"/>
      <c r="L88" s="441"/>
      <c r="M88" s="441"/>
    </row>
    <row r="89" spans="6:12" ht="9.75" customHeight="1">
      <c r="F89" s="73"/>
      <c r="G89" s="440"/>
      <c r="H89" s="440"/>
      <c r="I89" s="73"/>
      <c r="J89" s="74"/>
      <c r="K89" s="74"/>
      <c r="L89" s="74"/>
    </row>
    <row r="90" spans="2:12" ht="22.5" customHeight="1" hidden="1">
      <c r="B90" s="443" t="s">
        <v>60</v>
      </c>
      <c r="C90" s="444"/>
      <c r="D90" s="86">
        <v>0</v>
      </c>
      <c r="E90" s="56" t="s">
        <v>24</v>
      </c>
      <c r="F90" s="73"/>
      <c r="G90" s="440"/>
      <c r="H90" s="44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0"/>
      <c r="O91" s="440"/>
    </row>
    <row r="92" spans="4:15" ht="15">
      <c r="D92" s="83"/>
      <c r="I92" s="31"/>
      <c r="N92" s="445"/>
      <c r="O92" s="445"/>
    </row>
    <row r="93" spans="14:15" ht="15">
      <c r="N93" s="440"/>
      <c r="O93" s="440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" right="0" top="0" bottom="0" header="0" footer="0"/>
  <pageSetup fitToHeight="2" fitToWidth="1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2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2" sqref="E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2" t="s">
        <v>139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92"/>
      <c r="R1" s="93"/>
    </row>
    <row r="2" spans="2:18" s="1" customFormat="1" ht="15.75" customHeight="1">
      <c r="B2" s="452"/>
      <c r="C2" s="452"/>
      <c r="D2" s="452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4"/>
      <c r="B3" s="416"/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455" t="s">
        <v>128</v>
      </c>
      <c r="N3" s="425" t="s">
        <v>119</v>
      </c>
      <c r="O3" s="425"/>
      <c r="P3" s="425"/>
      <c r="Q3" s="425"/>
      <c r="R3" s="425"/>
    </row>
    <row r="4" spans="1:18" ht="22.5" customHeight="1">
      <c r="A4" s="414"/>
      <c r="B4" s="416"/>
      <c r="C4" s="417"/>
      <c r="D4" s="418"/>
      <c r="E4" s="426" t="s">
        <v>127</v>
      </c>
      <c r="F4" s="453" t="s">
        <v>34</v>
      </c>
      <c r="G4" s="430" t="s">
        <v>116</v>
      </c>
      <c r="H4" s="423" t="s">
        <v>117</v>
      </c>
      <c r="I4" s="430" t="s">
        <v>122</v>
      </c>
      <c r="J4" s="423" t="s">
        <v>123</v>
      </c>
      <c r="K4" s="91" t="s">
        <v>65</v>
      </c>
      <c r="L4" s="96" t="s">
        <v>64</v>
      </c>
      <c r="M4" s="423"/>
      <c r="N4" s="432" t="s">
        <v>140</v>
      </c>
      <c r="O4" s="430" t="s">
        <v>50</v>
      </c>
      <c r="P4" s="434" t="s">
        <v>49</v>
      </c>
      <c r="Q4" s="97" t="s">
        <v>65</v>
      </c>
      <c r="R4" s="98" t="s">
        <v>64</v>
      </c>
    </row>
    <row r="5" spans="1:18" ht="92.25" customHeight="1">
      <c r="A5" s="415"/>
      <c r="B5" s="416"/>
      <c r="C5" s="417"/>
      <c r="D5" s="418"/>
      <c r="E5" s="427"/>
      <c r="F5" s="454"/>
      <c r="G5" s="431"/>
      <c r="H5" s="424"/>
      <c r="I5" s="431"/>
      <c r="J5" s="424"/>
      <c r="K5" s="435" t="s">
        <v>118</v>
      </c>
      <c r="L5" s="437"/>
      <c r="M5" s="424"/>
      <c r="N5" s="433"/>
      <c r="O5" s="431"/>
      <c r="P5" s="434"/>
      <c r="Q5" s="435" t="s">
        <v>120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8"/>
      <c r="H83" s="438"/>
      <c r="I83" s="438"/>
      <c r="J83" s="438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39"/>
      <c r="O84" s="439"/>
    </row>
    <row r="85" spans="3:15" ht="15">
      <c r="C85" s="87">
        <v>42426</v>
      </c>
      <c r="D85" s="31">
        <v>6256.2</v>
      </c>
      <c r="F85" s="124" t="s">
        <v>59</v>
      </c>
      <c r="G85" s="440"/>
      <c r="H85" s="440"/>
      <c r="I85" s="131"/>
      <c r="J85" s="441"/>
      <c r="K85" s="441"/>
      <c r="L85" s="441"/>
      <c r="M85" s="441"/>
      <c r="N85" s="439"/>
      <c r="O85" s="439"/>
    </row>
    <row r="86" spans="3:15" ht="15.75" customHeight="1">
      <c r="C86" s="87">
        <v>42425</v>
      </c>
      <c r="D86" s="31">
        <v>3536.9</v>
      </c>
      <c r="F86" s="73"/>
      <c r="G86" s="440"/>
      <c r="H86" s="440"/>
      <c r="I86" s="131"/>
      <c r="J86" s="442"/>
      <c r="K86" s="442"/>
      <c r="L86" s="442"/>
      <c r="M86" s="442"/>
      <c r="N86" s="439"/>
      <c r="O86" s="439"/>
    </row>
    <row r="87" spans="3:13" ht="15.75" customHeight="1">
      <c r="C87" s="87"/>
      <c r="F87" s="73"/>
      <c r="G87" s="446"/>
      <c r="H87" s="446"/>
      <c r="I87" s="139"/>
      <c r="J87" s="441"/>
      <c r="K87" s="441"/>
      <c r="L87" s="441"/>
      <c r="M87" s="441"/>
    </row>
    <row r="88" spans="2:13" ht="18.75" customHeight="1">
      <c r="B88" s="447" t="s">
        <v>57</v>
      </c>
      <c r="C88" s="448"/>
      <c r="D88" s="148">
        <v>505.3</v>
      </c>
      <c r="E88" s="74"/>
      <c r="F88" s="140" t="s">
        <v>137</v>
      </c>
      <c r="G88" s="440"/>
      <c r="H88" s="440"/>
      <c r="I88" s="141"/>
      <c r="J88" s="441"/>
      <c r="K88" s="441"/>
      <c r="L88" s="441"/>
      <c r="M88" s="441"/>
    </row>
    <row r="89" spans="6:12" ht="9.75" customHeight="1">
      <c r="F89" s="73"/>
      <c r="G89" s="440"/>
      <c r="H89" s="440"/>
      <c r="I89" s="73"/>
      <c r="J89" s="74"/>
      <c r="K89" s="74"/>
      <c r="L89" s="74"/>
    </row>
    <row r="90" spans="2:12" ht="22.5" customHeight="1" hidden="1">
      <c r="B90" s="443" t="s">
        <v>60</v>
      </c>
      <c r="C90" s="444"/>
      <c r="D90" s="86">
        <v>0</v>
      </c>
      <c r="E90" s="56" t="s">
        <v>24</v>
      </c>
      <c r="F90" s="73"/>
      <c r="G90" s="440"/>
      <c r="H90" s="44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0"/>
      <c r="O91" s="440"/>
    </row>
    <row r="92" spans="4:15" ht="15">
      <c r="D92" s="83"/>
      <c r="I92" s="31"/>
      <c r="N92" s="445"/>
      <c r="O92" s="445"/>
    </row>
    <row r="93" spans="14:15" ht="15">
      <c r="N93" s="440"/>
      <c r="O93" s="440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51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2" t="s">
        <v>114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92"/>
      <c r="R1" s="93"/>
    </row>
    <row r="2" spans="2:18" s="1" customFormat="1" ht="15.75" customHeight="1">
      <c r="B2" s="452"/>
      <c r="C2" s="452"/>
      <c r="D2" s="452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4"/>
      <c r="B3" s="416" t="s">
        <v>135</v>
      </c>
      <c r="C3" s="417" t="s">
        <v>0</v>
      </c>
      <c r="D3" s="418" t="s">
        <v>121</v>
      </c>
      <c r="E3" s="34"/>
      <c r="F3" s="419" t="s">
        <v>26</v>
      </c>
      <c r="G3" s="420"/>
      <c r="H3" s="420"/>
      <c r="I3" s="420"/>
      <c r="J3" s="421"/>
      <c r="K3" s="89"/>
      <c r="L3" s="89"/>
      <c r="M3" s="455" t="s">
        <v>132</v>
      </c>
      <c r="N3" s="425" t="s">
        <v>66</v>
      </c>
      <c r="O3" s="425"/>
      <c r="P3" s="425"/>
      <c r="Q3" s="425"/>
      <c r="R3" s="425"/>
    </row>
    <row r="4" spans="1:18" ht="22.5" customHeight="1">
      <c r="A4" s="414"/>
      <c r="B4" s="416"/>
      <c r="C4" s="417"/>
      <c r="D4" s="418"/>
      <c r="E4" s="426" t="s">
        <v>129</v>
      </c>
      <c r="F4" s="453" t="s">
        <v>34</v>
      </c>
      <c r="G4" s="430" t="s">
        <v>130</v>
      </c>
      <c r="H4" s="423" t="s">
        <v>131</v>
      </c>
      <c r="I4" s="430" t="s">
        <v>122</v>
      </c>
      <c r="J4" s="423" t="s">
        <v>123</v>
      </c>
      <c r="K4" s="91" t="s">
        <v>65</v>
      </c>
      <c r="L4" s="96" t="s">
        <v>64</v>
      </c>
      <c r="M4" s="423"/>
      <c r="N4" s="456" t="s">
        <v>133</v>
      </c>
      <c r="O4" s="430" t="s">
        <v>50</v>
      </c>
      <c r="P4" s="434" t="s">
        <v>49</v>
      </c>
      <c r="Q4" s="97" t="s">
        <v>65</v>
      </c>
      <c r="R4" s="98" t="s">
        <v>64</v>
      </c>
    </row>
    <row r="5" spans="1:18" ht="92.25" customHeight="1">
      <c r="A5" s="415"/>
      <c r="B5" s="416"/>
      <c r="C5" s="417"/>
      <c r="D5" s="418"/>
      <c r="E5" s="427"/>
      <c r="F5" s="454"/>
      <c r="G5" s="431"/>
      <c r="H5" s="424"/>
      <c r="I5" s="431"/>
      <c r="J5" s="424"/>
      <c r="K5" s="435" t="s">
        <v>134</v>
      </c>
      <c r="L5" s="437"/>
      <c r="M5" s="424"/>
      <c r="N5" s="457"/>
      <c r="O5" s="431"/>
      <c r="P5" s="434"/>
      <c r="Q5" s="435" t="s">
        <v>120</v>
      </c>
      <c r="R5" s="437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8"/>
      <c r="H83" s="438"/>
      <c r="I83" s="438"/>
      <c r="J83" s="438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39"/>
      <c r="O84" s="439"/>
    </row>
    <row r="85" spans="3:15" ht="15">
      <c r="C85" s="87">
        <v>42397</v>
      </c>
      <c r="D85" s="31">
        <v>8685</v>
      </c>
      <c r="F85" s="124" t="s">
        <v>59</v>
      </c>
      <c r="G85" s="440"/>
      <c r="H85" s="440"/>
      <c r="I85" s="131"/>
      <c r="J85" s="441"/>
      <c r="K85" s="441"/>
      <c r="L85" s="441"/>
      <c r="M85" s="441"/>
      <c r="N85" s="439"/>
      <c r="O85" s="439"/>
    </row>
    <row r="86" spans="3:15" ht="15.75" customHeight="1">
      <c r="C86" s="87">
        <v>42396</v>
      </c>
      <c r="D86" s="31">
        <v>4820.3</v>
      </c>
      <c r="F86" s="73"/>
      <c r="G86" s="440"/>
      <c r="H86" s="440"/>
      <c r="I86" s="131"/>
      <c r="J86" s="442"/>
      <c r="K86" s="442"/>
      <c r="L86" s="442"/>
      <c r="M86" s="442"/>
      <c r="N86" s="439"/>
      <c r="O86" s="439"/>
    </row>
    <row r="87" spans="3:13" ht="15.75" customHeight="1">
      <c r="C87" s="87"/>
      <c r="F87" s="73"/>
      <c r="G87" s="446"/>
      <c r="H87" s="446"/>
      <c r="I87" s="139"/>
      <c r="J87" s="441"/>
      <c r="K87" s="441"/>
      <c r="L87" s="441"/>
      <c r="M87" s="441"/>
    </row>
    <row r="88" spans="2:13" ht="18.75" customHeight="1">
      <c r="B88" s="447" t="s">
        <v>57</v>
      </c>
      <c r="C88" s="448"/>
      <c r="D88" s="148">
        <v>300.92</v>
      </c>
      <c r="E88" s="74"/>
      <c r="F88" s="140"/>
      <c r="G88" s="440"/>
      <c r="H88" s="440"/>
      <c r="I88" s="141"/>
      <c r="J88" s="441"/>
      <c r="K88" s="441"/>
      <c r="L88" s="441"/>
      <c r="M88" s="441"/>
    </row>
    <row r="89" spans="6:12" ht="9.75" customHeight="1">
      <c r="F89" s="73"/>
      <c r="G89" s="440"/>
      <c r="H89" s="440"/>
      <c r="I89" s="73"/>
      <c r="J89" s="74"/>
      <c r="K89" s="74"/>
      <c r="L89" s="74"/>
    </row>
    <row r="90" spans="2:12" ht="22.5" customHeight="1" hidden="1">
      <c r="B90" s="443" t="s">
        <v>60</v>
      </c>
      <c r="C90" s="444"/>
      <c r="D90" s="86">
        <v>0</v>
      </c>
      <c r="E90" s="56" t="s">
        <v>24</v>
      </c>
      <c r="F90" s="73"/>
      <c r="G90" s="440"/>
      <c r="H90" s="440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40"/>
      <c r="O91" s="440"/>
    </row>
    <row r="92" spans="4:15" ht="15">
      <c r="D92" s="83"/>
      <c r="I92" s="31"/>
      <c r="N92" s="445"/>
      <c r="O92" s="445"/>
    </row>
    <row r="93" spans="14:15" ht="15">
      <c r="N93" s="440"/>
      <c r="O93" s="440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2016-09-27T07:57:02Z</cp:lastPrinted>
  <dcterms:created xsi:type="dcterms:W3CDTF">2003-07-28T11:27:56Z</dcterms:created>
  <dcterms:modified xsi:type="dcterms:W3CDTF">2016-09-27T08:08:49Z</dcterms:modified>
  <cp:category/>
  <cp:version/>
  <cp:contentType/>
  <cp:contentStatus/>
</cp:coreProperties>
</file>